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465" activeTab="0"/>
  </bookViews>
  <sheets>
    <sheet name="BUDGET_PLAN" sheetId="1" r:id="rId1"/>
    <sheet name="CTC Subgrant" sheetId="2" state="hidden" r:id="rId2"/>
    <sheet name="CTF Subgrants" sheetId="3" state="hidden" r:id="rId3"/>
    <sheet name="Curriculum Development" sheetId="4" state="hidden" r:id="rId4"/>
  </sheets>
  <definedNames>
    <definedName name="_xlfn._FV" hidden="1">#NAME?</definedName>
    <definedName name="_xlfn.SUMIFS" hidden="1">#NAME?</definedName>
    <definedName name="_xlnm.Print_Area" localSheetId="1">'CTC Subgrant'!$A$1:$L$106</definedName>
    <definedName name="_xlnm.Print_Area" localSheetId="2">'CTF Subgrants'!#REF!</definedName>
    <definedName name="_xlnm.Print_Area" localSheetId="3">'Curriculum Development'!#REF!</definedName>
  </definedNames>
  <calcPr fullCalcOnLoad="1"/>
</workbook>
</file>

<file path=xl/sharedStrings.xml><?xml version="1.0" encoding="utf-8"?>
<sst xmlns="http://schemas.openxmlformats.org/spreadsheetml/2006/main" count="277" uniqueCount="196">
  <si>
    <t>Communications</t>
  </si>
  <si>
    <t>Unit Cost</t>
  </si>
  <si>
    <t>Unit</t>
  </si>
  <si>
    <t>/day</t>
  </si>
  <si>
    <t>Total</t>
  </si>
  <si>
    <t>Total:</t>
  </si>
  <si>
    <t>/trip</t>
  </si>
  <si>
    <t>/month</t>
  </si>
  <si>
    <t>Y1</t>
  </si>
  <si>
    <t>Y2</t>
  </si>
  <si>
    <t>Y3</t>
  </si>
  <si>
    <t>YR 1</t>
  </si>
  <si>
    <t>YR 2</t>
  </si>
  <si>
    <t>YR 3</t>
  </si>
  <si>
    <t>units</t>
  </si>
  <si>
    <t>YR 1 COST</t>
  </si>
  <si>
    <t>YR 2 COST</t>
  </si>
  <si>
    <t>YR 3 COST</t>
  </si>
  <si>
    <t>Subcontract with CTC</t>
  </si>
  <si>
    <t>/year</t>
  </si>
  <si>
    <t>Accountant/Assistant</t>
  </si>
  <si>
    <t>COST SHARE</t>
  </si>
  <si>
    <t>Office infrastructure</t>
  </si>
  <si>
    <t>Administration</t>
  </si>
  <si>
    <t>/personday</t>
  </si>
  <si>
    <t>/person</t>
  </si>
  <si>
    <t>Total Administration</t>
  </si>
  <si>
    <t>PAX refreshments</t>
  </si>
  <si>
    <t>Training room rental in Tbilisi</t>
  </si>
  <si>
    <t>Training room rental in regions</t>
  </si>
  <si>
    <t>Participant Materials</t>
  </si>
  <si>
    <t>Fee for training delivery</t>
  </si>
  <si>
    <t>/combo</t>
  </si>
  <si>
    <t>/pp</t>
  </si>
  <si>
    <t>/personnight</t>
  </si>
  <si>
    <t xml:space="preserve">Trainer travel expenses </t>
  </si>
  <si>
    <t xml:space="preserve">Trainer lodging and meals </t>
  </si>
  <si>
    <t>/workshop</t>
  </si>
  <si>
    <t>PAX lodging and meals (25%)</t>
  </si>
  <si>
    <t>Training and Technical Assistance for Association Building (5 2-day sessions of 10 participants)</t>
  </si>
  <si>
    <t>Training room</t>
  </si>
  <si>
    <t>/night</t>
  </si>
  <si>
    <t>12 months</t>
  </si>
  <si>
    <t>24 months</t>
  </si>
  <si>
    <t>36 months</t>
  </si>
  <si>
    <t>YR 4</t>
  </si>
  <si>
    <t>WORKSHEET</t>
  </si>
  <si>
    <t xml:space="preserve">new materials </t>
  </si>
  <si>
    <t>for variations</t>
  </si>
  <si>
    <t>Response to curri-</t>
  </si>
  <si>
    <t>Y1 cost</t>
  </si>
  <si>
    <t>Y2 cost</t>
  </si>
  <si>
    <t>Y 1 cost</t>
  </si>
  <si>
    <t>Social Benefits for two staff</t>
  </si>
  <si>
    <t>Financial Manager</t>
  </si>
  <si>
    <t>Utilities and Office Maintenance</t>
  </si>
  <si>
    <t>Local travel</t>
  </si>
  <si>
    <t>Equipment</t>
  </si>
  <si>
    <t>CTF Administration</t>
  </si>
  <si>
    <t>Office rent</t>
  </si>
  <si>
    <t>/project</t>
  </si>
  <si>
    <t>PAX travel (50%)</t>
  </si>
  <si>
    <t>Stationary and Certificates</t>
  </si>
  <si>
    <t>/training</t>
  </si>
  <si>
    <t>Catering</t>
  </si>
  <si>
    <t>Training Room</t>
  </si>
  <si>
    <t>Fee for Master Trainers Course Review</t>
  </si>
  <si>
    <t>Fee for Course Accreditation</t>
  </si>
  <si>
    <t>Fee for trainer of trainers</t>
  </si>
  <si>
    <t>Annual Conference</t>
  </si>
  <si>
    <t>Regional Round table</t>
  </si>
  <si>
    <t>/event</t>
  </si>
  <si>
    <t>Regional Coordinator Meeting (travel, accomodations, refreshment)</t>
  </si>
  <si>
    <t>/meeting</t>
  </si>
  <si>
    <t>/issue</t>
  </si>
  <si>
    <t>Regional Open Lessons Events and Compendium</t>
  </si>
  <si>
    <t>Licensed textbooks 9 &amp; 10</t>
  </si>
  <si>
    <t>New supplemental materials/toolboxes</t>
  </si>
  <si>
    <t>Revision of Core Teacher Training Design to 4 days</t>
  </si>
  <si>
    <t>Fee for Course Revisions - 4 day core course</t>
  </si>
  <si>
    <t>Training of Core Teacher Trainers</t>
  </si>
  <si>
    <t>2a</t>
  </si>
  <si>
    <t>2b</t>
  </si>
  <si>
    <t>2c</t>
  </si>
  <si>
    <t>3a</t>
  </si>
  <si>
    <t>Development of TOT for toolboxes</t>
  </si>
  <si>
    <t>Teacher Training in Supplemental Materials and Toolboxes (Non-Core )</t>
  </si>
  <si>
    <t>Training of  Teacher Trainers in 1) Supplemental Materials and 2) Toolbox variations</t>
  </si>
  <si>
    <t>3b</t>
  </si>
  <si>
    <t>3c</t>
  </si>
  <si>
    <t>Total Training of Teachers in Supplemental Manuals and Toolboxes</t>
  </si>
  <si>
    <t>subtotal TOT for supplemental and toolboxes</t>
  </si>
  <si>
    <t>subtotal development of toolbix TOT</t>
  </si>
  <si>
    <t>subtotal teacher training workshops in supplemental and toolboxes</t>
  </si>
  <si>
    <t>CORE TEACHER TRAINING</t>
  </si>
  <si>
    <t>Total Core Training of Teachers</t>
  </si>
  <si>
    <t>TOT development in Supplemental Materials and Toolboxes (Non-Core )</t>
  </si>
  <si>
    <t>Facilitation for critical friends groups/community</t>
  </si>
  <si>
    <t>Subgrants to Civics Teacher Forum</t>
  </si>
  <si>
    <t>Total Association Training Workshops</t>
  </si>
  <si>
    <t>CTC support for CTF Events</t>
  </si>
  <si>
    <t>GRAND TOTAL  CTC</t>
  </si>
  <si>
    <t>PROJECTED TOTAL SUBGRANTS TO CTF</t>
  </si>
  <si>
    <t>Coordinator - Manager of teacher training and TA to CTF</t>
  </si>
  <si>
    <t>Project Assistant - handles details</t>
  </si>
  <si>
    <t>Office supplies</t>
  </si>
  <si>
    <t>2 months</t>
  </si>
  <si>
    <t xml:space="preserve">Total Association Training </t>
  </si>
  <si>
    <t>Publishing Semi-annual bulletin (500 copies)</t>
  </si>
  <si>
    <t>Subcontract with CTF</t>
  </si>
  <si>
    <t xml:space="preserve">CTF annual retreat </t>
  </si>
  <si>
    <t>Core Training (20 4 day training sessions averaging 24 teachers each), 18 in regions 2 in Tbilisi</t>
  </si>
  <si>
    <t>Teacher Training ( 20 1 day training sessions averaging 24 teachers each  for supplemental, 20 1 day workshops for toolbox variations)</t>
  </si>
  <si>
    <t>Equipment purchase (laptop &amp; projector)</t>
  </si>
  <si>
    <t xml:space="preserve">Revisions of existing texbooks </t>
  </si>
  <si>
    <t>Printing of supplemental materials</t>
  </si>
  <si>
    <t>culum &amp; law changes</t>
  </si>
  <si>
    <t xml:space="preserve">Will be multiple subaward all less than $25,000.  Full amount included in DCB and subject to indirect. </t>
  </si>
  <si>
    <t xml:space="preserve">Equipment </t>
  </si>
  <si>
    <t>Training of ERCs</t>
  </si>
  <si>
    <t>Training design</t>
  </si>
  <si>
    <t>day</t>
  </si>
  <si>
    <t>Training delivery</t>
  </si>
  <si>
    <t>Venue in Tbilisi</t>
  </si>
  <si>
    <t>Caterng</t>
  </si>
  <si>
    <t>pax/day</t>
  </si>
  <si>
    <t>Copies of Materials</t>
  </si>
  <si>
    <t>pax</t>
  </si>
  <si>
    <t>Stationary</t>
  </si>
  <si>
    <t>training</t>
  </si>
  <si>
    <t>trip</t>
  </si>
  <si>
    <t>trainer/day</t>
  </si>
  <si>
    <t>PAX travel of  participants</t>
  </si>
  <si>
    <t>pax/travel</t>
  </si>
  <si>
    <t>PAX lodging and meals of participants</t>
  </si>
  <si>
    <t>CTC Training of ERCs</t>
  </si>
  <si>
    <t>Follow-up Support</t>
  </si>
  <si>
    <t>Contract Fee for Follow Up visits by Cuirriculum Team Members</t>
  </si>
  <si>
    <t>YR 4 COST</t>
  </si>
  <si>
    <t>Support to MES in Civic Education Policy</t>
  </si>
  <si>
    <t>Expert Fee</t>
  </si>
  <si>
    <t>Year 1</t>
  </si>
  <si>
    <t>Year 2</t>
  </si>
  <si>
    <t>Year 3</t>
  </si>
  <si>
    <t>Year 4</t>
  </si>
  <si>
    <t xml:space="preserve">updating manuals </t>
  </si>
  <si>
    <t>including minority languages</t>
  </si>
  <si>
    <t>Project Leader and Association Building Consultant</t>
  </si>
  <si>
    <t>PAX lodging and meals (8 of 10)</t>
  </si>
  <si>
    <t>PAX travel (8 of 10)</t>
  </si>
  <si>
    <r>
      <t xml:space="preserve">Cost share for payment of 2 months salaries from membership fees has been estimated at a total $1,300 </t>
    </r>
    <r>
      <rPr>
        <sz val="12"/>
        <rFont val="Times New Roman"/>
        <family val="1"/>
      </rPr>
      <t xml:space="preserve">  </t>
    </r>
  </si>
  <si>
    <r>
      <t xml:space="preserve">1.2  Office rent.  </t>
    </r>
    <r>
      <rPr>
        <sz val="12"/>
        <rFont val="Times New Roman"/>
        <family val="1"/>
      </rPr>
      <t>The office rental is estimated at $300 per month for 34 months’ of the project life.</t>
    </r>
  </si>
  <si>
    <r>
      <t xml:space="preserve">Cost share for payment of 4 months office rent from membership fees or other sources has been estimated at a total $1,200 </t>
    </r>
    <r>
      <rPr>
        <sz val="12"/>
        <rFont val="Times New Roman"/>
        <family val="1"/>
      </rPr>
      <t xml:space="preserve">  </t>
    </r>
  </si>
  <si>
    <r>
      <t xml:space="preserve">1.3 Communications. </t>
    </r>
    <r>
      <rPr>
        <sz val="12"/>
        <rFont val="Times New Roman"/>
        <family val="1"/>
      </rPr>
      <t>The monthly communication cost is estimated at $200 per month for 34 months of the project life.</t>
    </r>
  </si>
  <si>
    <r>
      <t xml:space="preserve">Cost share for payment of 4 months communications costs from membership fees or other sources has been estimated at a total $800 </t>
    </r>
    <r>
      <rPr>
        <sz val="12"/>
        <rFont val="Times New Roman"/>
        <family val="1"/>
      </rPr>
      <t xml:space="preserve">  </t>
    </r>
  </si>
  <si>
    <r>
      <t>1.4 Equipment.</t>
    </r>
    <r>
      <rPr>
        <sz val="12"/>
        <rFont val="Times New Roman"/>
        <family val="1"/>
      </rPr>
      <t xml:space="preserve"> Purchasing 2 laptops and 1 printer for project staff. The total budget line is $3,000.</t>
    </r>
  </si>
  <si>
    <t>Specifications for the proposed equipment are :</t>
  </si>
  <si>
    <t>Laptop: Notebook/HP Compaq/HP Envy 15’, Full HD Intel Core i3-4000 M, 2.4 GHz 6 GB, 750 GB NVIDIA, GeForce GT 740 M 2 GB- 840 USD</t>
  </si>
  <si>
    <t>Flipchart tripod- 150 USD</t>
  </si>
  <si>
    <t>Printer- hp LaserJet M1536dnf  Flatbed Copier, Fax, Scanner, Printer with duplexing -340  USD</t>
  </si>
  <si>
    <t>Desktop computer-HP W2072a 20" LED Monitor - Display diagonal size: 20" (50,8 cm), Native Resolution: 1600 x 900 @ 60 Hz, Contrast ratio Dinamic (Static): 3'000'000:1 (600:1), Brightness: 200cd/m2, Response time: 5ms, Aspect ratio: 16:9 (Widescreen), Pixel pitch: 0.2768mm, View angle (H/V): 90; Intel Core i3-3220 Processor (3M Cache, 3.30 GHz), NCP 4GB DDR3 1600MHz, Asus H61M-K, Toshiba 500GB 7.2K 3.5", SAMSUNG SH-224DB/BEBE DVD-RW/ Golden Field ATX- 880B [p/n i3-3220/4GB/500GB/DVD/880B]- 500 USD</t>
  </si>
  <si>
    <t>Projector-View Sonic- 680 USD</t>
  </si>
  <si>
    <t xml:space="preserve"> Mobile phone-Samsung S5282 Galaxy Star -90 USD</t>
  </si>
  <si>
    <t>Photocamera-Nikon D3000 18-55 VR Kit -400 USD</t>
  </si>
  <si>
    <r>
      <t xml:space="preserve">1.5 Regional Coordinator Meetings. </t>
    </r>
    <r>
      <rPr>
        <sz val="12"/>
        <rFont val="Times New Roman"/>
        <family val="1"/>
      </rPr>
      <t>It is planned to conduct on average 2 meetings per year during Year 1 through Year 3 of the project and 1 meeting during Year 4. The budget per each meeting is $1,000 and includes travel, accommodation and refreshment for participants.</t>
    </r>
  </si>
  <si>
    <r>
      <t xml:space="preserve">1.6 Regional Round tables. </t>
    </r>
    <r>
      <rPr>
        <sz val="12"/>
        <rFont val="Times New Roman"/>
        <family val="1"/>
      </rPr>
      <t>In total 22 round tables are to be held.  The lump sum cost for each meeting is $700. It includes costs for travel and honorarium of the invited expert, organizing, covering participant travel, venue, communication and etc.</t>
    </r>
  </si>
  <si>
    <r>
      <t xml:space="preserve">1.7 National Fair-Conference. </t>
    </r>
    <r>
      <rPr>
        <sz val="12"/>
        <rFont val="Times New Roman"/>
        <family val="1"/>
      </rPr>
      <t>The Forum will take over logistics of the National Conference in the 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year of CEI. The budget for the conference is estimated at $19,000, based on past experience with this event. The detailed breakdown of the conference budget will be prepared prior to the conference and be agreed with the donor.</t>
    </r>
  </si>
  <si>
    <r>
      <t xml:space="preserve">1.8 Regional Open lessons Events and Compendium. </t>
    </r>
    <r>
      <rPr>
        <sz val="12"/>
        <rFont val="Times New Roman"/>
        <family val="1"/>
      </rPr>
      <t xml:space="preserve">27 civics open lessons are to be held, including 11 events during Year 1 and Year 2 of the project and 5 events during Year 3. The lump sum cost for each open lesson is $250. It includes costs for organizing, covering participant travel, venue, communication and other relevant expenses.  </t>
    </r>
  </si>
  <si>
    <r>
      <t xml:space="preserve">Cost share for holding and documenting open lessons in 6 regions by Year 3 has been estimated at a total $1,500 </t>
    </r>
    <r>
      <rPr>
        <sz val="12"/>
        <rFont val="Times New Roman"/>
        <family val="1"/>
      </rPr>
      <t xml:space="preserve">  </t>
    </r>
  </si>
  <si>
    <r>
      <t xml:space="preserve">1.9 Facilitation for critical friends’ groups/community. </t>
    </r>
    <r>
      <rPr>
        <sz val="12"/>
        <rFont val="Times New Roman"/>
        <family val="1"/>
      </rPr>
      <t>The facilitator’s daily fee is budgeted at $200 for the planned 27 events, including 11 events during Year 1 and Year 2 of the project and 5 events during Year 3.</t>
    </r>
  </si>
  <si>
    <r>
      <t xml:space="preserve">Cost share for facilitating critical friends communities in 6 regions in year 3 has been estimated at a total $1,200 </t>
    </r>
    <r>
      <rPr>
        <sz val="12"/>
        <rFont val="Times New Roman"/>
        <family val="1"/>
      </rPr>
      <t xml:space="preserve">  </t>
    </r>
  </si>
  <si>
    <r>
      <t xml:space="preserve">1.10 Publishing Semi-annual bulletin (500 copies). </t>
    </r>
    <r>
      <rPr>
        <sz val="12"/>
        <rFont val="Times New Roman"/>
        <family val="1"/>
      </rPr>
      <t xml:space="preserve">In total 6 bulletins are budgeted, 2 for each year from Year 1 through Year 3.  The lump sum cost per each bulletin is $1,200. The cost includes editorial job, design and colored printing minimum 500 copies.  </t>
    </r>
    <r>
      <rPr>
        <i/>
        <sz val="12"/>
        <rFont val="Times New Roman"/>
        <family val="1"/>
      </rPr>
      <t xml:space="preserve">  </t>
    </r>
  </si>
  <si>
    <r>
      <t>1.1.</t>
    </r>
    <r>
      <rPr>
        <i/>
        <sz val="7"/>
        <rFont val="Times New Roman"/>
        <family val="1"/>
      </rPr>
      <t xml:space="preserve">  </t>
    </r>
    <r>
      <rPr>
        <i/>
        <sz val="12"/>
        <rFont val="Times New Roman"/>
        <family val="1"/>
      </rPr>
      <t xml:space="preserve">CTF Administration salary. </t>
    </r>
    <r>
      <rPr>
        <sz val="12"/>
        <rFont val="Times New Roman"/>
        <family val="1"/>
      </rPr>
      <t>Includes salaries of Project Manager, Project Coordinator and Project Accountant with the monthly budget of $1,300 for 12 months in 2015, 12 months in 2016, 12 months in 2017 and additional 2 months for the close out.</t>
    </r>
  </si>
  <si>
    <t>Budget Row</t>
  </si>
  <si>
    <t>SUBTOTAL
ჯამი</t>
  </si>
  <si>
    <t>Equipment/აღჭურვილობა</t>
  </si>
  <si>
    <t>Line Item/ დასახელება</t>
  </si>
  <si>
    <t xml:space="preserve"> Budget/ბიუჯეტი</t>
  </si>
  <si>
    <t>თვე</t>
  </si>
  <si>
    <t>Item  unit measure/
ერთეულის დასახლება</t>
  </si>
  <si>
    <t>quantity/
რაოდენობა</t>
  </si>
  <si>
    <t>cost/
ღირებულება</t>
  </si>
  <si>
    <t>Financial reporting of the research project budget/კვლევითი პროექტის ბიუჯეტის ფინანსური ანგარიშგება</t>
  </si>
  <si>
    <t>დანადგარი</t>
  </si>
  <si>
    <t>Research Project Manager/კვლევითი პროექტის მენეჯერი: --------------------------------</t>
  </si>
  <si>
    <t>სტატიის გამოქვეყნება</t>
  </si>
  <si>
    <t>SUBTOTAL/ჯამი</t>
  </si>
  <si>
    <t>TOTAL
მთლიანი ჯამი</t>
  </si>
  <si>
    <t>Dissemination costs/გავრცელების ხარჯები</t>
  </si>
  <si>
    <r>
      <t xml:space="preserve">Total </t>
    </r>
    <r>
      <rPr>
        <b/>
        <sz val="9"/>
        <rFont val="Calibri"/>
        <family val="2"/>
      </rPr>
      <t>amount
/მთლიანი თანხა</t>
    </r>
  </si>
  <si>
    <r>
      <t>Salaries and Benefits
ხელფასები საშემოსავლოსა და</t>
    </r>
    <r>
      <rPr>
        <b/>
        <sz val="9"/>
        <rFont val="Calibri"/>
        <family val="2"/>
      </rPr>
      <t xml:space="preserve"> საპენსიო შენატანების ჩათვლით</t>
    </r>
  </si>
  <si>
    <t>The University of Georgia/საქართველოს უნივერსიტეტი</t>
  </si>
  <si>
    <t>Research Project Name/კვლევითი პროექტის დასახელება: -------------------------------------------</t>
  </si>
  <si>
    <t>კონფერენციაში მონაწილეობა</t>
  </si>
  <si>
    <t>Research project administration costs/კვლევითი პროექტის ადმინისტრირების ხარჯები</t>
  </si>
  <si>
    <r>
      <t>Miscellaneous expenses/სხვადასხვა</t>
    </r>
    <r>
      <rPr>
        <b/>
        <sz val="9"/>
        <rFont val="Calibri"/>
        <family val="2"/>
      </rPr>
      <t xml:space="preserve"> ხარჯი</t>
    </r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</si>
</sst>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$&quot;#,##0.00"/>
    <numFmt numFmtId="173" formatCode="&quot;$&quot;#,##0"/>
    <numFmt numFmtId="174" formatCode="#,##0.00_ ;\-#,##0.00\ "/>
    <numFmt numFmtId="175" formatCode="#,##0.0_);\(#,##0.0\)"/>
    <numFmt numFmtId="176" formatCode="_(&quot;$&quot;* #,##0_);_(&quot;$&quot;* \(#,##0\);_(&quot;$&quot;* &quot;-&quot;??_);_(@_)"/>
    <numFmt numFmtId="177" formatCode="mmm\-yyyy"/>
    <numFmt numFmtId="178" formatCode="[$-409]dddd\,\ mmmm\ d\,\ yyyy"/>
    <numFmt numFmtId="179" formatCode="[$-409]h:mm:ss\ AM/PM"/>
    <numFmt numFmtId="180" formatCode="0.0000"/>
    <numFmt numFmtId="181" formatCode="#,##0.00\ [$€-1]_);[Red]\(#,##0.00\ [$€-1]\)"/>
    <numFmt numFmtId="182" formatCode="dd/mm/yy;@"/>
    <numFmt numFmtId="183" formatCode="0.000"/>
    <numFmt numFmtId="184" formatCode="#0.00"/>
    <numFmt numFmtId="185" formatCode="mm/dd/yy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09]dddd\,\ mmmm\ dd\,\ yyyy"/>
    <numFmt numFmtId="191" formatCode="#,##0.0000"/>
    <numFmt numFmtId="192" formatCode="0.00000"/>
    <numFmt numFmtId="193" formatCode="#,##0.00000000000_);\(#,##0.00000000000\)"/>
    <numFmt numFmtId="194" formatCode="#,##0.0000000000_);\(#,##0.0000000000\)"/>
    <numFmt numFmtId="195" formatCode="#,##0.0"/>
    <numFmt numFmtId="196" formatCode="#,##0.000"/>
    <numFmt numFmtId="197" formatCode="0_);\(0\)"/>
    <numFmt numFmtId="198" formatCode="mmm/yyyy"/>
    <numFmt numFmtId="199" formatCode="#,##0.00000"/>
    <numFmt numFmtId="200" formatCode="#,##0.000_);\(#,##0.000\)"/>
    <numFmt numFmtId="201" formatCode="0.000000000000"/>
    <numFmt numFmtId="202" formatCode="#,##0.0000_);\(#,##0.0000\)"/>
    <numFmt numFmtId="203" formatCode="#,##0.00000_);\(#,##0.00000\)"/>
    <numFmt numFmtId="204" formatCode="_-* #,##0.00\ &quot;TL&quot;_-;\-* #,##0.00\ &quot;TL&quot;_-;_-* &quot;-&quot;??\ &quot;TL&quot;_-;_-@_-"/>
    <numFmt numFmtId="205" formatCode="0.0"/>
    <numFmt numFmtId="206" formatCode="[$GEL]\ #,##0.00"/>
    <numFmt numFmtId="207" formatCode="[$CZK]\ #,##0.00_);\([$CZK]\ #,##0.00\)"/>
    <numFmt numFmtId="208" formatCode="#,##0.000000000000"/>
    <numFmt numFmtId="209" formatCode="#,##0.00000000000"/>
    <numFmt numFmtId="210" formatCode="#,##0.0000000000"/>
    <numFmt numFmtId="211" formatCode="#,##0.000000000"/>
    <numFmt numFmtId="212" formatCode="#,##0.00000000"/>
    <numFmt numFmtId="213" formatCode="#,##0.0000000"/>
    <numFmt numFmtId="214" formatCode="#,##0.000000"/>
    <numFmt numFmtId="215" formatCode="[$CZK]\ #,##0.00"/>
    <numFmt numFmtId="216" formatCode="#,##0.00\ [$₾-437]"/>
  </numFmts>
  <fonts count="73">
    <font>
      <sz val="12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12"/>
      <name val="Helv"/>
      <family val="0"/>
    </font>
    <font>
      <sz val="10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sz val="9"/>
      <name val="Times New Roman"/>
      <family val="1"/>
    </font>
    <font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9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b/>
      <i/>
      <sz val="9"/>
      <name val="Arial Cyr"/>
      <family val="0"/>
    </font>
    <font>
      <b/>
      <i/>
      <sz val="9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 Cyr"/>
      <family val="0"/>
    </font>
    <font>
      <sz val="9"/>
      <name val="Calibri"/>
      <family val="2"/>
    </font>
    <font>
      <i/>
      <sz val="9"/>
      <name val="Calibri"/>
      <family val="2"/>
    </font>
    <font>
      <b/>
      <sz val="1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BD3CD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 style="thin"/>
      <bottom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8">
    <xf numFmtId="37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0" applyNumberFormat="0" applyBorder="0" applyAlignment="0" applyProtection="0"/>
    <xf numFmtId="0" fontId="56" fillId="28" borderId="1" applyNumberFormat="0" applyAlignment="0" applyProtection="0"/>
    <xf numFmtId="0" fontId="57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37" fontId="59" fillId="2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37" fontId="64" fillId="2" borderId="0" applyNumberFormat="0" applyFill="0" applyBorder="0" applyAlignment="0" applyProtection="0"/>
    <xf numFmtId="0" fontId="65" fillId="31" borderId="1" applyNumberFormat="0" applyAlignment="0" applyProtection="0"/>
    <xf numFmtId="0" fontId="66" fillId="0" borderId="6" applyNumberFormat="0" applyFill="0" applyAlignment="0" applyProtection="0"/>
    <xf numFmtId="0" fontId="67" fillId="32" borderId="0" applyNumberFormat="0" applyBorder="0" applyAlignment="0" applyProtection="0"/>
    <xf numFmtId="0" fontId="12" fillId="0" borderId="0">
      <alignment/>
      <protection/>
    </xf>
    <xf numFmtId="37" fontId="0" fillId="2" borderId="0">
      <alignment/>
      <protection/>
    </xf>
    <xf numFmtId="0" fontId="5" fillId="0" borderId="0">
      <alignment/>
      <protection/>
    </xf>
    <xf numFmtId="37" fontId="3" fillId="0" borderId="0">
      <alignment/>
      <protection/>
    </xf>
    <xf numFmtId="0" fontId="4" fillId="0" borderId="0">
      <alignment/>
      <protection/>
    </xf>
    <xf numFmtId="0" fontId="0" fillId="33" borderId="7" applyNumberFormat="0" applyFont="0" applyAlignment="0" applyProtection="0"/>
    <xf numFmtId="0" fontId="68" fillId="28" borderId="8" applyNumberFormat="0" applyAlignment="0" applyProtection="0"/>
    <xf numFmtId="9" fontId="4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21">
    <xf numFmtId="37" fontId="0" fillId="2" borderId="0" xfId="0" applyAlignment="1">
      <alignment/>
    </xf>
    <xf numFmtId="0" fontId="9" fillId="0" borderId="0" xfId="59" applyFont="1">
      <alignment/>
      <protection/>
    </xf>
    <xf numFmtId="0" fontId="7" fillId="0" borderId="0" xfId="59" applyFont="1">
      <alignment/>
      <protection/>
    </xf>
    <xf numFmtId="0" fontId="8" fillId="0" borderId="0" xfId="61" applyFont="1" applyAlignment="1">
      <alignment horizontal="left"/>
      <protection/>
    </xf>
    <xf numFmtId="0" fontId="8" fillId="0" borderId="0" xfId="61" applyFont="1" applyAlignment="1">
      <alignment horizontal="center"/>
      <protection/>
    </xf>
    <xf numFmtId="172" fontId="8" fillId="0" borderId="0" xfId="61" applyNumberFormat="1" applyFont="1" applyAlignment="1">
      <alignment horizontal="center"/>
      <protection/>
    </xf>
    <xf numFmtId="0" fontId="10" fillId="0" borderId="0" xfId="59" applyFont="1">
      <alignment/>
      <protection/>
    </xf>
    <xf numFmtId="0" fontId="7" fillId="0" borderId="0" xfId="61" applyFont="1" applyAlignment="1">
      <alignment horizontal="left"/>
      <protection/>
    </xf>
    <xf numFmtId="172" fontId="7" fillId="0" borderId="0" xfId="61" applyNumberFormat="1" applyFont="1">
      <alignment/>
      <protection/>
    </xf>
    <xf numFmtId="172" fontId="11" fillId="0" borderId="0" xfId="61" applyNumberFormat="1" applyFont="1">
      <alignment/>
      <protection/>
    </xf>
    <xf numFmtId="172" fontId="9" fillId="0" borderId="0" xfId="59" applyNumberFormat="1" applyFont="1">
      <alignment/>
      <protection/>
    </xf>
    <xf numFmtId="0" fontId="8" fillId="0" borderId="10" xfId="59" applyFont="1" applyBorder="1" applyAlignment="1">
      <alignment horizontal="center"/>
      <protection/>
    </xf>
    <xf numFmtId="0" fontId="7" fillId="0" borderId="10" xfId="59" applyFont="1" applyBorder="1">
      <alignment/>
      <protection/>
    </xf>
    <xf numFmtId="0" fontId="7" fillId="0" borderId="10" xfId="61" applyFont="1" applyBorder="1" applyAlignment="1">
      <alignment horizontal="left"/>
      <protection/>
    </xf>
    <xf numFmtId="172" fontId="7" fillId="0" borderId="10" xfId="61" applyNumberFormat="1" applyFont="1" applyBorder="1">
      <alignment/>
      <protection/>
    </xf>
    <xf numFmtId="0" fontId="7" fillId="0" borderId="10" xfId="61" applyFont="1" applyBorder="1" applyAlignment="1">
      <alignment horizontal="center"/>
      <protection/>
    </xf>
    <xf numFmtId="0" fontId="8" fillId="0" borderId="10" xfId="61" applyFont="1" applyBorder="1" applyAlignment="1">
      <alignment horizontal="right"/>
      <protection/>
    </xf>
    <xf numFmtId="0" fontId="8" fillId="0" borderId="10" xfId="61" applyFont="1" applyBorder="1">
      <alignment/>
      <protection/>
    </xf>
    <xf numFmtId="0" fontId="9" fillId="0" borderId="10" xfId="59" applyFont="1" applyBorder="1">
      <alignment/>
      <protection/>
    </xf>
    <xf numFmtId="0" fontId="8" fillId="0" borderId="10" xfId="59" applyFont="1" applyBorder="1">
      <alignment/>
      <protection/>
    </xf>
    <xf numFmtId="172" fontId="8" fillId="0" borderId="10" xfId="61" applyNumberFormat="1" applyFont="1" applyBorder="1" applyAlignment="1">
      <alignment horizontal="right"/>
      <protection/>
    </xf>
    <xf numFmtId="0" fontId="8" fillId="34" borderId="10" xfId="59" applyFont="1" applyFill="1" applyBorder="1" applyAlignment="1">
      <alignment horizontal="center"/>
      <protection/>
    </xf>
    <xf numFmtId="0" fontId="8" fillId="34" borderId="10" xfId="61" applyFont="1" applyFill="1" applyBorder="1" applyAlignment="1">
      <alignment horizontal="left"/>
      <protection/>
    </xf>
    <xf numFmtId="0" fontId="8" fillId="34" borderId="10" xfId="61" applyFont="1" applyFill="1" applyBorder="1" applyAlignment="1">
      <alignment horizontal="center"/>
      <protection/>
    </xf>
    <xf numFmtId="0" fontId="7" fillId="0" borderId="10" xfId="61" applyFont="1" applyBorder="1">
      <alignment/>
      <protection/>
    </xf>
    <xf numFmtId="0" fontId="7" fillId="0" borderId="10" xfId="61" applyFont="1" applyBorder="1" applyAlignment="1" quotePrefix="1">
      <alignment horizontal="center"/>
      <protection/>
    </xf>
    <xf numFmtId="173" fontId="7" fillId="0" borderId="10" xfId="59" applyNumberFormat="1" applyFont="1" applyBorder="1">
      <alignment/>
      <protection/>
    </xf>
    <xf numFmtId="173" fontId="8" fillId="0" borderId="10" xfId="59" applyNumberFormat="1" applyFont="1" applyBorder="1" applyAlignment="1">
      <alignment horizontal="center"/>
      <protection/>
    </xf>
    <xf numFmtId="173" fontId="8" fillId="34" borderId="10" xfId="61" applyNumberFormat="1" applyFont="1" applyFill="1" applyBorder="1" applyAlignment="1">
      <alignment horizontal="center"/>
      <protection/>
    </xf>
    <xf numFmtId="173" fontId="13" fillId="0" borderId="10" xfId="61" applyNumberFormat="1" applyFont="1" applyBorder="1">
      <alignment/>
      <protection/>
    </xf>
    <xf numFmtId="173" fontId="8" fillId="0" borderId="10" xfId="61" applyNumberFormat="1" applyFont="1" applyBorder="1">
      <alignment/>
      <protection/>
    </xf>
    <xf numFmtId="173" fontId="7" fillId="0" borderId="10" xfId="61" applyNumberFormat="1" applyFont="1" applyBorder="1">
      <alignment/>
      <protection/>
    </xf>
    <xf numFmtId="173" fontId="9" fillId="0" borderId="0" xfId="59" applyNumberFormat="1" applyFont="1">
      <alignment/>
      <protection/>
    </xf>
    <xf numFmtId="173" fontId="7" fillId="0" borderId="10" xfId="61" applyNumberFormat="1" applyFont="1" applyBorder="1" applyAlignment="1">
      <alignment horizontal="right"/>
      <protection/>
    </xf>
    <xf numFmtId="173" fontId="14" fillId="0" borderId="10" xfId="61" applyNumberFormat="1" applyFont="1" applyBorder="1" applyAlignment="1">
      <alignment horizontal="right"/>
      <protection/>
    </xf>
    <xf numFmtId="172" fontId="8" fillId="0" borderId="11" xfId="61" applyNumberFormat="1" applyFont="1" applyBorder="1" applyAlignment="1">
      <alignment horizontal="right"/>
      <protection/>
    </xf>
    <xf numFmtId="173" fontId="8" fillId="0" borderId="11" xfId="61" applyNumberFormat="1" applyFont="1" applyBorder="1">
      <alignment/>
      <protection/>
    </xf>
    <xf numFmtId="0" fontId="17" fillId="0" borderId="10" xfId="59" applyFont="1" applyBorder="1">
      <alignment/>
      <protection/>
    </xf>
    <xf numFmtId="173" fontId="17" fillId="0" borderId="10" xfId="59" applyNumberFormat="1" applyFont="1" applyBorder="1">
      <alignment/>
      <protection/>
    </xf>
    <xf numFmtId="0" fontId="8" fillId="0" borderId="0" xfId="59" applyFont="1" applyAlignment="1">
      <alignment horizontal="center"/>
      <protection/>
    </xf>
    <xf numFmtId="0" fontId="7" fillId="0" borderId="10" xfId="59" applyFont="1" applyBorder="1" applyAlignment="1">
      <alignment horizontal="left"/>
      <protection/>
    </xf>
    <xf numFmtId="173" fontId="7" fillId="0" borderId="10" xfId="59" applyNumberFormat="1" applyFont="1" applyBorder="1" applyAlignment="1">
      <alignment horizontal="left"/>
      <protection/>
    </xf>
    <xf numFmtId="0" fontId="10" fillId="0" borderId="0" xfId="59" applyFont="1">
      <alignment/>
      <protection/>
    </xf>
    <xf numFmtId="173" fontId="9" fillId="0" borderId="12" xfId="59" applyNumberFormat="1" applyFont="1" applyBorder="1">
      <alignment/>
      <protection/>
    </xf>
    <xf numFmtId="0" fontId="10" fillId="0" borderId="13" xfId="59" applyFont="1" applyBorder="1">
      <alignment/>
      <protection/>
    </xf>
    <xf numFmtId="173" fontId="10" fillId="0" borderId="14" xfId="59" applyNumberFormat="1" applyFont="1" applyBorder="1">
      <alignment/>
      <protection/>
    </xf>
    <xf numFmtId="173" fontId="9" fillId="0" borderId="15" xfId="59" applyNumberFormat="1" applyFont="1" applyBorder="1">
      <alignment/>
      <protection/>
    </xf>
    <xf numFmtId="0" fontId="10" fillId="0" borderId="16" xfId="59" applyFont="1" applyBorder="1">
      <alignment/>
      <protection/>
    </xf>
    <xf numFmtId="173" fontId="10" fillId="0" borderId="17" xfId="59" applyNumberFormat="1" applyFont="1" applyBorder="1">
      <alignment/>
      <protection/>
    </xf>
    <xf numFmtId="0" fontId="10" fillId="0" borderId="18" xfId="59" applyFont="1" applyBorder="1">
      <alignment/>
      <protection/>
    </xf>
    <xf numFmtId="173" fontId="10" fillId="0" borderId="19" xfId="59" applyNumberFormat="1" applyFont="1" applyBorder="1">
      <alignment/>
      <protection/>
    </xf>
    <xf numFmtId="0" fontId="10" fillId="0" borderId="20" xfId="59" applyFont="1" applyBorder="1">
      <alignment/>
      <protection/>
    </xf>
    <xf numFmtId="173" fontId="10" fillId="0" borderId="21" xfId="59" applyNumberFormat="1" applyFont="1" applyBorder="1">
      <alignment/>
      <protection/>
    </xf>
    <xf numFmtId="0" fontId="10" fillId="0" borderId="22" xfId="59" applyFont="1" applyBorder="1">
      <alignment/>
      <protection/>
    </xf>
    <xf numFmtId="0" fontId="9" fillId="0" borderId="22" xfId="59" applyFont="1" applyBorder="1">
      <alignment/>
      <protection/>
    </xf>
    <xf numFmtId="173" fontId="9" fillId="0" borderId="23" xfId="59" applyNumberFormat="1" applyFont="1" applyBorder="1">
      <alignment/>
      <protection/>
    </xf>
    <xf numFmtId="0" fontId="9" fillId="0" borderId="24" xfId="59" applyFont="1" applyBorder="1">
      <alignment/>
      <protection/>
    </xf>
    <xf numFmtId="173" fontId="9" fillId="0" borderId="25" xfId="59" applyNumberFormat="1" applyFont="1" applyBorder="1">
      <alignment/>
      <protection/>
    </xf>
    <xf numFmtId="0" fontId="7" fillId="0" borderId="26" xfId="61" applyFont="1" applyBorder="1" applyAlignment="1" quotePrefix="1">
      <alignment horizontal="left"/>
      <protection/>
    </xf>
    <xf numFmtId="173" fontId="10" fillId="0" borderId="27" xfId="59" applyNumberFormat="1" applyFont="1" applyBorder="1">
      <alignment/>
      <protection/>
    </xf>
    <xf numFmtId="0" fontId="10" fillId="0" borderId="28" xfId="59" applyFont="1" applyBorder="1">
      <alignment/>
      <protection/>
    </xf>
    <xf numFmtId="0" fontId="10" fillId="0" borderId="29" xfId="59" applyFont="1" applyBorder="1">
      <alignment/>
      <protection/>
    </xf>
    <xf numFmtId="173" fontId="10" fillId="0" borderId="30" xfId="59" applyNumberFormat="1" applyFont="1" applyBorder="1">
      <alignment/>
      <protection/>
    </xf>
    <xf numFmtId="0" fontId="9" fillId="0" borderId="31" xfId="59" applyFont="1" applyBorder="1">
      <alignment/>
      <protection/>
    </xf>
    <xf numFmtId="0" fontId="9" fillId="0" borderId="32" xfId="59" applyFont="1" applyBorder="1">
      <alignment/>
      <protection/>
    </xf>
    <xf numFmtId="173" fontId="9" fillId="0" borderId="33" xfId="59" applyNumberFormat="1" applyFont="1" applyBorder="1">
      <alignment/>
      <protection/>
    </xf>
    <xf numFmtId="0" fontId="7" fillId="0" borderId="10" xfId="61" applyFont="1" applyBorder="1" applyAlignment="1">
      <alignment horizontal="right"/>
      <protection/>
    </xf>
    <xf numFmtId="0" fontId="9" fillId="0" borderId="0" xfId="59" applyFont="1" quotePrefix="1">
      <alignment/>
      <protection/>
    </xf>
    <xf numFmtId="0" fontId="7" fillId="0" borderId="10" xfId="61" applyFont="1" applyBorder="1" applyAlignment="1">
      <alignment horizontal="left" wrapText="1"/>
      <protection/>
    </xf>
    <xf numFmtId="0" fontId="14" fillId="0" borderId="10" xfId="61" applyFont="1" applyBorder="1" applyAlignment="1">
      <alignment horizontal="right"/>
      <protection/>
    </xf>
    <xf numFmtId="0" fontId="7" fillId="35" borderId="10" xfId="59" applyFont="1" applyFill="1" applyBorder="1">
      <alignment/>
      <protection/>
    </xf>
    <xf numFmtId="172" fontId="7" fillId="35" borderId="10" xfId="61" applyNumberFormat="1" applyFont="1" applyFill="1" applyBorder="1">
      <alignment/>
      <protection/>
    </xf>
    <xf numFmtId="0" fontId="7" fillId="35" borderId="10" xfId="61" applyFont="1" applyFill="1" applyBorder="1" applyAlignment="1" quotePrefix="1">
      <alignment horizontal="center"/>
      <protection/>
    </xf>
    <xf numFmtId="173" fontId="7" fillId="35" borderId="10" xfId="61" applyNumberFormat="1" applyFont="1" applyFill="1" applyBorder="1" applyAlignment="1">
      <alignment horizontal="right"/>
      <protection/>
    </xf>
    <xf numFmtId="0" fontId="7" fillId="35" borderId="10" xfId="61" applyFont="1" applyFill="1" applyBorder="1" applyAlignment="1">
      <alignment horizontal="center"/>
      <protection/>
    </xf>
    <xf numFmtId="0" fontId="7" fillId="35" borderId="10" xfId="61" applyFont="1" applyFill="1" applyBorder="1" applyAlignment="1">
      <alignment horizontal="right"/>
      <protection/>
    </xf>
    <xf numFmtId="173" fontId="7" fillId="35" borderId="10" xfId="61" applyNumberFormat="1" applyFont="1" applyFill="1" applyBorder="1">
      <alignment/>
      <protection/>
    </xf>
    <xf numFmtId="172" fontId="7" fillId="35" borderId="0" xfId="61" applyNumberFormat="1" applyFont="1" applyFill="1">
      <alignment/>
      <protection/>
    </xf>
    <xf numFmtId="0" fontId="7" fillId="35" borderId="0" xfId="61" applyFont="1" applyFill="1" applyAlignment="1">
      <alignment horizontal="left"/>
      <protection/>
    </xf>
    <xf numFmtId="0" fontId="9" fillId="35" borderId="0" xfId="59" applyFont="1" applyFill="1">
      <alignment/>
      <protection/>
    </xf>
    <xf numFmtId="0" fontId="9" fillId="35" borderId="0" xfId="59" applyFont="1" applyFill="1">
      <alignment/>
      <protection/>
    </xf>
    <xf numFmtId="172" fontId="9" fillId="35" borderId="0" xfId="59" applyNumberFormat="1" applyFont="1" applyFill="1">
      <alignment/>
      <protection/>
    </xf>
    <xf numFmtId="1" fontId="7" fillId="0" borderId="10" xfId="61" applyNumberFormat="1" applyFont="1" applyBorder="1" applyAlignment="1" quotePrefix="1">
      <alignment horizontal="center"/>
      <protection/>
    </xf>
    <xf numFmtId="0" fontId="8" fillId="0" borderId="10" xfId="59" applyFont="1" applyBorder="1">
      <alignment/>
      <protection/>
    </xf>
    <xf numFmtId="172" fontId="8" fillId="0" borderId="0" xfId="61" applyNumberFormat="1" applyFont="1" applyAlignment="1">
      <alignment horizontal="right"/>
      <protection/>
    </xf>
    <xf numFmtId="173" fontId="8" fillId="0" borderId="0" xfId="61" applyNumberFormat="1" applyFont="1">
      <alignment/>
      <protection/>
    </xf>
    <xf numFmtId="0" fontId="7" fillId="0" borderId="10" xfId="59" applyFont="1" applyBorder="1" applyAlignment="1">
      <alignment wrapText="1"/>
      <protection/>
    </xf>
    <xf numFmtId="0" fontId="8" fillId="34" borderId="10" xfId="61" applyFont="1" applyFill="1" applyBorder="1" applyAlignment="1">
      <alignment horizontal="left" wrapText="1"/>
      <protection/>
    </xf>
    <xf numFmtId="0" fontId="7" fillId="35" borderId="10" xfId="61" applyFont="1" applyFill="1" applyBorder="1" applyAlignment="1">
      <alignment horizontal="left" wrapText="1"/>
      <protection/>
    </xf>
    <xf numFmtId="172" fontId="8" fillId="0" borderId="10" xfId="61" applyNumberFormat="1" applyFont="1" applyBorder="1" applyAlignment="1">
      <alignment horizontal="right" wrapText="1"/>
      <protection/>
    </xf>
    <xf numFmtId="172" fontId="8" fillId="0" borderId="10" xfId="61" applyNumberFormat="1" applyFont="1" applyBorder="1" applyAlignment="1">
      <alignment horizontal="left" wrapText="1"/>
      <protection/>
    </xf>
    <xf numFmtId="0" fontId="8" fillId="0" borderId="10" xfId="61" applyFont="1" applyBorder="1" applyAlignment="1">
      <alignment wrapText="1"/>
      <protection/>
    </xf>
    <xf numFmtId="0" fontId="13" fillId="0" borderId="10" xfId="61" applyFont="1" applyBorder="1" applyAlignment="1">
      <alignment horizontal="right" wrapText="1"/>
      <protection/>
    </xf>
    <xf numFmtId="0" fontId="13" fillId="0" borderId="10" xfId="61" applyFont="1" applyBorder="1" applyAlignment="1">
      <alignment wrapText="1"/>
      <protection/>
    </xf>
    <xf numFmtId="0" fontId="8" fillId="35" borderId="11" xfId="61" applyFont="1" applyFill="1" applyBorder="1" applyAlignment="1">
      <alignment horizontal="right" wrapText="1"/>
      <protection/>
    </xf>
    <xf numFmtId="0" fontId="17" fillId="0" borderId="10" xfId="59" applyFont="1" applyBorder="1" applyAlignment="1">
      <alignment wrapText="1"/>
      <protection/>
    </xf>
    <xf numFmtId="0" fontId="9" fillId="0" borderId="0" xfId="59" applyFont="1" applyAlignment="1">
      <alignment wrapText="1"/>
      <protection/>
    </xf>
    <xf numFmtId="172" fontId="8" fillId="0" borderId="0" xfId="61" applyNumberFormat="1" applyFont="1" applyAlignment="1">
      <alignment horizontal="right" wrapText="1"/>
      <protection/>
    </xf>
    <xf numFmtId="0" fontId="8" fillId="0" borderId="11" xfId="59" applyFont="1" applyBorder="1">
      <alignment/>
      <protection/>
    </xf>
    <xf numFmtId="172" fontId="8" fillId="0" borderId="11" xfId="61" applyNumberFormat="1" applyFont="1" applyBorder="1" applyAlignment="1">
      <alignment horizontal="left" wrapText="1"/>
      <protection/>
    </xf>
    <xf numFmtId="0" fontId="19" fillId="0" borderId="11" xfId="59" applyFont="1" applyBorder="1">
      <alignment/>
      <protection/>
    </xf>
    <xf numFmtId="172" fontId="20" fillId="0" borderId="11" xfId="61" applyNumberFormat="1" applyFont="1" applyBorder="1" applyAlignment="1">
      <alignment horizontal="right"/>
      <protection/>
    </xf>
    <xf numFmtId="173" fontId="20" fillId="0" borderId="11" xfId="61" applyNumberFormat="1" applyFont="1" applyBorder="1">
      <alignment/>
      <protection/>
    </xf>
    <xf numFmtId="0" fontId="21" fillId="0" borderId="0" xfId="59" applyFont="1">
      <alignment/>
      <protection/>
    </xf>
    <xf numFmtId="173" fontId="13" fillId="0" borderId="10" xfId="61" applyNumberFormat="1" applyFont="1" applyBorder="1" applyAlignment="1">
      <alignment horizontal="right"/>
      <protection/>
    </xf>
    <xf numFmtId="172" fontId="18" fillId="0" borderId="0" xfId="61" applyNumberFormat="1" applyFont="1">
      <alignment/>
      <protection/>
    </xf>
    <xf numFmtId="0" fontId="13" fillId="0" borderId="10" xfId="61" applyFont="1" applyBorder="1" applyAlignment="1">
      <alignment wrapText="1"/>
      <protection/>
    </xf>
    <xf numFmtId="0" fontId="13" fillId="0" borderId="10" xfId="61" applyFont="1" applyBorder="1">
      <alignment/>
      <protection/>
    </xf>
    <xf numFmtId="173" fontId="13" fillId="0" borderId="10" xfId="61" applyNumberFormat="1" applyFont="1" applyBorder="1">
      <alignment/>
      <protection/>
    </xf>
    <xf numFmtId="0" fontId="13" fillId="0" borderId="10" xfId="59" applyFont="1" applyBorder="1">
      <alignment/>
      <protection/>
    </xf>
    <xf numFmtId="0" fontId="22" fillId="0" borderId="0" xfId="59" applyFont="1">
      <alignment/>
      <protection/>
    </xf>
    <xf numFmtId="172" fontId="23" fillId="0" borderId="0" xfId="61" applyNumberFormat="1" applyFont="1">
      <alignment/>
      <protection/>
    </xf>
    <xf numFmtId="0" fontId="13" fillId="0" borderId="11" xfId="59" applyFont="1" applyBorder="1">
      <alignment/>
      <protection/>
    </xf>
    <xf numFmtId="172" fontId="13" fillId="0" borderId="11" xfId="61" applyNumberFormat="1" applyFont="1" applyBorder="1" applyAlignment="1">
      <alignment horizontal="right" wrapText="1"/>
      <protection/>
    </xf>
    <xf numFmtId="172" fontId="13" fillId="0" borderId="11" xfId="61" applyNumberFormat="1" applyFont="1" applyBorder="1" applyAlignment="1">
      <alignment horizontal="right"/>
      <protection/>
    </xf>
    <xf numFmtId="173" fontId="13" fillId="0" borderId="11" xfId="61" applyNumberFormat="1" applyFont="1" applyBorder="1">
      <alignment/>
      <protection/>
    </xf>
    <xf numFmtId="0" fontId="8" fillId="35" borderId="11" xfId="59" applyFont="1" applyFill="1" applyBorder="1">
      <alignment/>
      <protection/>
    </xf>
    <xf numFmtId="172" fontId="8" fillId="35" borderId="11" xfId="61" applyNumberFormat="1" applyFont="1" applyFill="1" applyBorder="1">
      <alignment/>
      <protection/>
    </xf>
    <xf numFmtId="0" fontId="8" fillId="35" borderId="11" xfId="61" applyFont="1" applyFill="1" applyBorder="1" applyAlignment="1" quotePrefix="1">
      <alignment horizontal="center"/>
      <protection/>
    </xf>
    <xf numFmtId="173" fontId="13" fillId="35" borderId="11" xfId="61" applyNumberFormat="1" applyFont="1" applyFill="1" applyBorder="1" applyAlignment="1">
      <alignment horizontal="right"/>
      <protection/>
    </xf>
    <xf numFmtId="0" fontId="8" fillId="35" borderId="11" xfId="61" applyFont="1" applyFill="1" applyBorder="1" applyAlignment="1">
      <alignment horizontal="center"/>
      <protection/>
    </xf>
    <xf numFmtId="0" fontId="8" fillId="35" borderId="11" xfId="61" applyFont="1" applyFill="1" applyBorder="1" applyAlignment="1">
      <alignment horizontal="right"/>
      <protection/>
    </xf>
    <xf numFmtId="0" fontId="8" fillId="35" borderId="0" xfId="61" applyFont="1" applyFill="1" applyAlignment="1">
      <alignment horizontal="left"/>
      <protection/>
    </xf>
    <xf numFmtId="172" fontId="10" fillId="35" borderId="0" xfId="59" applyNumberFormat="1" applyFont="1" applyFill="1">
      <alignment/>
      <protection/>
    </xf>
    <xf numFmtId="0" fontId="10" fillId="35" borderId="0" xfId="59" applyFont="1" applyFill="1">
      <alignment/>
      <protection/>
    </xf>
    <xf numFmtId="0" fontId="10" fillId="35" borderId="0" xfId="59" applyFont="1" applyFill="1">
      <alignment/>
      <protection/>
    </xf>
    <xf numFmtId="172" fontId="20" fillId="0" borderId="11" xfId="61" applyNumberFormat="1" applyFont="1" applyBorder="1" applyAlignment="1">
      <alignment horizontal="left"/>
      <protection/>
    </xf>
    <xf numFmtId="173" fontId="72" fillId="0" borderId="0" xfId="59" applyNumberFormat="1" applyFont="1">
      <alignment/>
      <protection/>
    </xf>
    <xf numFmtId="0" fontId="9" fillId="36" borderId="0" xfId="59" applyFont="1" applyFill="1">
      <alignment/>
      <protection/>
    </xf>
    <xf numFmtId="0" fontId="8" fillId="37" borderId="0" xfId="61" applyFont="1" applyFill="1" applyAlignment="1">
      <alignment horizontal="center"/>
      <protection/>
    </xf>
    <xf numFmtId="172" fontId="7" fillId="37" borderId="0" xfId="61" applyNumberFormat="1" applyFont="1" applyFill="1">
      <alignment/>
      <protection/>
    </xf>
    <xf numFmtId="172" fontId="8" fillId="37" borderId="0" xfId="59" applyNumberFormat="1" applyFont="1" applyFill="1">
      <alignment/>
      <protection/>
    </xf>
    <xf numFmtId="0" fontId="8" fillId="37" borderId="0" xfId="59" applyFont="1" applyFill="1">
      <alignment/>
      <protection/>
    </xf>
    <xf numFmtId="172" fontId="13" fillId="37" borderId="0" xfId="59" applyNumberFormat="1" applyFont="1" applyFill="1">
      <alignment/>
      <protection/>
    </xf>
    <xf numFmtId="173" fontId="17" fillId="37" borderId="10" xfId="59" applyNumberFormat="1" applyFont="1" applyFill="1" applyBorder="1">
      <alignment/>
      <protection/>
    </xf>
    <xf numFmtId="0" fontId="9" fillId="37" borderId="0" xfId="59" applyFont="1" applyFill="1">
      <alignment/>
      <protection/>
    </xf>
    <xf numFmtId="0" fontId="9" fillId="37" borderId="0" xfId="59" applyFont="1" applyFill="1">
      <alignment/>
      <protection/>
    </xf>
    <xf numFmtId="0" fontId="7" fillId="37" borderId="0" xfId="59" applyFont="1" applyFill="1">
      <alignment/>
      <protection/>
    </xf>
    <xf numFmtId="172" fontId="20" fillId="37" borderId="0" xfId="59" applyNumberFormat="1" applyFont="1" applyFill="1">
      <alignment/>
      <protection/>
    </xf>
    <xf numFmtId="173" fontId="13" fillId="37" borderId="10" xfId="61" applyNumberFormat="1" applyFont="1" applyFill="1" applyBorder="1" applyAlignment="1">
      <alignment horizontal="right"/>
      <protection/>
    </xf>
    <xf numFmtId="173" fontId="8" fillId="37" borderId="10" xfId="61" applyNumberFormat="1" applyFont="1" applyFill="1" applyBorder="1">
      <alignment/>
      <protection/>
    </xf>
    <xf numFmtId="173" fontId="13" fillId="37" borderId="11" xfId="61" applyNumberFormat="1" applyFont="1" applyFill="1" applyBorder="1" applyAlignment="1">
      <alignment horizontal="right"/>
      <protection/>
    </xf>
    <xf numFmtId="173" fontId="8" fillId="37" borderId="11" xfId="61" applyNumberFormat="1" applyFont="1" applyFill="1" applyBorder="1">
      <alignment/>
      <protection/>
    </xf>
    <xf numFmtId="173" fontId="8" fillId="37" borderId="0" xfId="61" applyNumberFormat="1" applyFont="1" applyFill="1">
      <alignment/>
      <protection/>
    </xf>
    <xf numFmtId="172" fontId="7" fillId="0" borderId="11" xfId="61" applyNumberFormat="1" applyFont="1" applyBorder="1" applyAlignment="1">
      <alignment horizontal="right"/>
      <protection/>
    </xf>
    <xf numFmtId="173" fontId="7" fillId="0" borderId="11" xfId="61" applyNumberFormat="1" applyFont="1" applyBorder="1">
      <alignment/>
      <protection/>
    </xf>
    <xf numFmtId="173" fontId="13" fillId="9" borderId="11" xfId="61" applyNumberFormat="1" applyFont="1" applyFill="1" applyBorder="1" applyAlignment="1">
      <alignment horizontal="right"/>
      <protection/>
    </xf>
    <xf numFmtId="0" fontId="7" fillId="0" borderId="10" xfId="61" applyFont="1" applyBorder="1" applyAlignment="1">
      <alignment horizontal="left" vertical="center" wrapText="1"/>
      <protection/>
    </xf>
    <xf numFmtId="0" fontId="7" fillId="0" borderId="34" xfId="61" applyFont="1" applyBorder="1" applyAlignment="1">
      <alignment horizontal="left" vertical="center" wrapText="1"/>
      <protection/>
    </xf>
    <xf numFmtId="0" fontId="7" fillId="0" borderId="10" xfId="61" applyFont="1" applyBorder="1" applyAlignment="1">
      <alignment horizontal="left"/>
      <protection/>
    </xf>
    <xf numFmtId="0" fontId="12" fillId="0" borderId="10" xfId="61" applyFont="1" applyBorder="1" applyAlignment="1">
      <alignment horizontal="left"/>
      <protection/>
    </xf>
    <xf numFmtId="0" fontId="12" fillId="0" borderId="10" xfId="61" applyFont="1" applyBorder="1" applyAlignment="1">
      <alignment horizontal="left" vertical="center" wrapText="1"/>
      <protection/>
    </xf>
    <xf numFmtId="173" fontId="10" fillId="0" borderId="0" xfId="59" applyNumberFormat="1" applyFont="1">
      <alignment/>
      <protection/>
    </xf>
    <xf numFmtId="173" fontId="9" fillId="0" borderId="34" xfId="59" applyNumberFormat="1" applyFont="1" applyBorder="1">
      <alignment/>
      <protection/>
    </xf>
    <xf numFmtId="173" fontId="10" fillId="0" borderId="11" xfId="59" applyNumberFormat="1" applyFont="1" applyBorder="1">
      <alignment/>
      <protection/>
    </xf>
    <xf numFmtId="173" fontId="9" fillId="0" borderId="35" xfId="59" applyNumberFormat="1" applyFont="1" applyBorder="1">
      <alignment/>
      <protection/>
    </xf>
    <xf numFmtId="173" fontId="10" fillId="0" borderId="36" xfId="59" applyNumberFormat="1" applyFont="1" applyBorder="1">
      <alignment/>
      <protection/>
    </xf>
    <xf numFmtId="173" fontId="10" fillId="0" borderId="37" xfId="59" applyNumberFormat="1" applyFont="1" applyBorder="1">
      <alignment/>
      <protection/>
    </xf>
    <xf numFmtId="173" fontId="9" fillId="35" borderId="0" xfId="59" applyNumberFormat="1" applyFont="1" applyFill="1">
      <alignment/>
      <protection/>
    </xf>
    <xf numFmtId="173" fontId="9" fillId="0" borderId="31" xfId="59" applyNumberFormat="1" applyFont="1" applyBorder="1">
      <alignment/>
      <protection/>
    </xf>
    <xf numFmtId="173" fontId="13" fillId="0" borderId="26" xfId="61" applyNumberFormat="1" applyFont="1" applyBorder="1">
      <alignment/>
      <protection/>
    </xf>
    <xf numFmtId="0" fontId="9" fillId="0" borderId="18" xfId="59" applyFont="1" applyBorder="1">
      <alignment/>
      <protection/>
    </xf>
    <xf numFmtId="173" fontId="9" fillId="0" borderId="19" xfId="59" applyNumberFormat="1" applyFont="1" applyBorder="1">
      <alignment/>
      <protection/>
    </xf>
    <xf numFmtId="173" fontId="10" fillId="0" borderId="38" xfId="59" applyNumberFormat="1" applyFont="1" applyBorder="1">
      <alignment/>
      <protection/>
    </xf>
    <xf numFmtId="173" fontId="9" fillId="0" borderId="39" xfId="59" applyNumberFormat="1" applyFont="1" applyBorder="1">
      <alignment/>
      <protection/>
    </xf>
    <xf numFmtId="173" fontId="9" fillId="0" borderId="40" xfId="59" applyNumberFormat="1" applyFont="1" applyBorder="1">
      <alignment/>
      <protection/>
    </xf>
    <xf numFmtId="173" fontId="9" fillId="0" borderId="41" xfId="59" applyNumberFormat="1" applyFont="1" applyBorder="1">
      <alignment/>
      <protection/>
    </xf>
    <xf numFmtId="172" fontId="7" fillId="38" borderId="10" xfId="61" applyNumberFormat="1" applyFont="1" applyFill="1" applyBorder="1">
      <alignment/>
      <protection/>
    </xf>
    <xf numFmtId="37" fontId="25" fillId="2" borderId="0" xfId="0" applyFont="1" applyAlignment="1">
      <alignment horizontal="left" vertical="center" indent="4"/>
    </xf>
    <xf numFmtId="37" fontId="25" fillId="2" borderId="0" xfId="0" applyFont="1" applyAlignment="1">
      <alignment horizontal="left" vertical="center"/>
    </xf>
    <xf numFmtId="37" fontId="24" fillId="2" borderId="0" xfId="0" applyFont="1" applyAlignment="1">
      <alignment horizontal="left" vertical="center"/>
    </xf>
    <xf numFmtId="37" fontId="27" fillId="2" borderId="0" xfId="0" applyFont="1" applyAlignment="1">
      <alignment horizontal="left" vertical="center"/>
    </xf>
    <xf numFmtId="37" fontId="29" fillId="2" borderId="0" xfId="0" applyFont="1" applyAlignment="1">
      <alignment horizontal="left" vertical="center"/>
    </xf>
    <xf numFmtId="37" fontId="50" fillId="2" borderId="0" xfId="58" applyFont="1" applyAlignment="1">
      <alignment vertical="center"/>
      <protection/>
    </xf>
    <xf numFmtId="37" fontId="50" fillId="0" borderId="0" xfId="58" applyFont="1" applyFill="1" applyBorder="1" applyAlignment="1">
      <alignment horizontal="center" vertical="center"/>
      <protection/>
    </xf>
    <xf numFmtId="39" fontId="30" fillId="39" borderId="42" xfId="58" applyNumberFormat="1" applyFont="1" applyFill="1" applyBorder="1" applyAlignment="1">
      <alignment horizontal="left" vertical="center"/>
      <protection/>
    </xf>
    <xf numFmtId="37" fontId="50" fillId="0" borderId="42" xfId="58" applyFont="1" applyFill="1" applyBorder="1" applyAlignment="1">
      <alignment horizontal="left" vertical="center"/>
      <protection/>
    </xf>
    <xf numFmtId="37" fontId="50" fillId="35" borderId="0" xfId="58" applyFont="1" applyFill="1" applyAlignment="1">
      <alignment vertical="center"/>
      <protection/>
    </xf>
    <xf numFmtId="37" fontId="50" fillId="2" borderId="0" xfId="58" applyFont="1" applyAlignment="1">
      <alignment horizontal="center" vertical="center"/>
      <protection/>
    </xf>
    <xf numFmtId="37" fontId="50" fillId="2" borderId="0" xfId="58" applyFont="1" applyBorder="1" applyAlignment="1">
      <alignment vertical="center"/>
      <protection/>
    </xf>
    <xf numFmtId="37" fontId="30" fillId="39" borderId="42" xfId="58" applyFont="1" applyFill="1" applyBorder="1" applyAlignment="1">
      <alignment horizontal="center" vertical="center"/>
      <protection/>
    </xf>
    <xf numFmtId="175" fontId="50" fillId="0" borderId="42" xfId="58" applyNumberFormat="1" applyFont="1" applyFill="1" applyBorder="1" applyAlignment="1">
      <alignment horizontal="center" vertical="center"/>
      <protection/>
    </xf>
    <xf numFmtId="37" fontId="51" fillId="39" borderId="42" xfId="58" applyFont="1" applyFill="1" applyBorder="1" applyAlignment="1">
      <alignment horizontal="center" vertical="center"/>
      <protection/>
    </xf>
    <xf numFmtId="37" fontId="30" fillId="2" borderId="0" xfId="58" applyFont="1" applyAlignment="1">
      <alignment horizontal="center" vertical="center"/>
      <protection/>
    </xf>
    <xf numFmtId="37" fontId="50" fillId="0" borderId="42" xfId="60" applyFont="1" applyBorder="1" applyAlignment="1">
      <alignment horizontal="left" vertical="center" wrapText="1"/>
      <protection/>
    </xf>
    <xf numFmtId="37" fontId="30" fillId="39" borderId="42" xfId="58" applyFont="1" applyFill="1" applyBorder="1" applyAlignment="1">
      <alignment horizontal="left" vertical="center"/>
      <protection/>
    </xf>
    <xf numFmtId="37" fontId="30" fillId="39" borderId="42" xfId="58" applyNumberFormat="1" applyFont="1" applyFill="1" applyBorder="1" applyAlignment="1" quotePrefix="1">
      <alignment horizontal="right" vertical="center"/>
      <protection/>
    </xf>
    <xf numFmtId="37" fontId="50" fillId="2" borderId="0" xfId="58" applyNumberFormat="1" applyFont="1" applyAlignment="1">
      <alignment vertical="center"/>
      <protection/>
    </xf>
    <xf numFmtId="37" fontId="50" fillId="39" borderId="42" xfId="58" applyNumberFormat="1" applyFont="1" applyFill="1" applyBorder="1" applyAlignment="1">
      <alignment vertical="center"/>
      <protection/>
    </xf>
    <xf numFmtId="37" fontId="50" fillId="0" borderId="42" xfId="58" applyNumberFormat="1" applyFont="1" applyFill="1" applyBorder="1" applyAlignment="1" quotePrefix="1">
      <alignment horizontal="right" vertical="center"/>
      <protection/>
    </xf>
    <xf numFmtId="37" fontId="50" fillId="39" borderId="42" xfId="58" applyNumberFormat="1" applyFont="1" applyFill="1" applyBorder="1" applyAlignment="1">
      <alignment horizontal="right" vertical="center"/>
      <protection/>
    </xf>
    <xf numFmtId="37" fontId="30" fillId="39" borderId="42" xfId="58" applyNumberFormat="1" applyFont="1" applyFill="1" applyBorder="1" applyAlignment="1">
      <alignment horizontal="right" vertical="center"/>
      <protection/>
    </xf>
    <xf numFmtId="39" fontId="30" fillId="39" borderId="42" xfId="58" applyNumberFormat="1" applyFont="1" applyFill="1" applyBorder="1" applyAlignment="1">
      <alignment horizontal="center" vertical="center" wrapText="1"/>
      <protection/>
    </xf>
    <xf numFmtId="39" fontId="30" fillId="39" borderId="42" xfId="58" applyNumberFormat="1" applyFont="1" applyFill="1" applyBorder="1" applyAlignment="1">
      <alignment horizontal="center" vertical="center"/>
      <protection/>
    </xf>
    <xf numFmtId="39" fontId="30" fillId="39" borderId="42" xfId="58" applyNumberFormat="1" applyFont="1" applyFill="1" applyBorder="1" applyAlignment="1">
      <alignment horizontal="left" vertical="center" wrapText="1"/>
      <protection/>
    </xf>
    <xf numFmtId="37" fontId="30" fillId="39" borderId="42" xfId="58" applyFont="1" applyFill="1" applyBorder="1" applyAlignment="1">
      <alignment horizontal="left" vertical="center" wrapText="1"/>
      <protection/>
    </xf>
    <xf numFmtId="39" fontId="30" fillId="0" borderId="42" xfId="58" applyNumberFormat="1" applyFont="1" applyFill="1" applyBorder="1" applyAlignment="1">
      <alignment horizontal="left" vertical="center"/>
      <protection/>
    </xf>
    <xf numFmtId="37" fontId="50" fillId="0" borderId="42" xfId="58" applyNumberFormat="1" applyFont="1" applyFill="1" applyBorder="1" applyAlignment="1">
      <alignment horizontal="right" vertical="center"/>
      <protection/>
    </xf>
    <xf numFmtId="175" fontId="30" fillId="0" borderId="42" xfId="58" applyNumberFormat="1" applyFont="1" applyFill="1" applyBorder="1" applyAlignment="1">
      <alignment horizontal="center" vertical="center"/>
      <protection/>
    </xf>
    <xf numFmtId="37" fontId="30" fillId="0" borderId="42" xfId="58" applyNumberFormat="1" applyFont="1" applyFill="1" applyBorder="1" applyAlignment="1">
      <alignment horizontal="left" vertical="center"/>
      <protection/>
    </xf>
    <xf numFmtId="37" fontId="30" fillId="39" borderId="42" xfId="58" applyNumberFormat="1" applyFont="1" applyFill="1" applyBorder="1" applyAlignment="1">
      <alignment horizontal="center" vertical="center" wrapText="1"/>
      <protection/>
    </xf>
    <xf numFmtId="37" fontId="30" fillId="39" borderId="43" xfId="58" applyNumberFormat="1" applyFont="1" applyFill="1" applyBorder="1" applyAlignment="1" quotePrefix="1">
      <alignment horizontal="right" vertical="center"/>
      <protection/>
    </xf>
    <xf numFmtId="37" fontId="50" fillId="0" borderId="0" xfId="58" applyFont="1" applyFill="1" applyBorder="1" applyAlignment="1">
      <alignment vertical="center"/>
      <protection/>
    </xf>
    <xf numFmtId="37" fontId="50" fillId="0" borderId="42" xfId="58" applyFont="1" applyFill="1" applyBorder="1" applyAlignment="1">
      <alignment horizontal="left" vertical="center" wrapText="1"/>
      <protection/>
    </xf>
    <xf numFmtId="37" fontId="50" fillId="2" borderId="44" xfId="58" applyFont="1" applyBorder="1" applyAlignment="1">
      <alignment horizontal="center" vertical="center"/>
      <protection/>
    </xf>
    <xf numFmtId="37" fontId="50" fillId="2" borderId="45" xfId="58" applyFont="1" applyBorder="1" applyAlignment="1">
      <alignment horizontal="center" vertical="center"/>
      <protection/>
    </xf>
    <xf numFmtId="37" fontId="52" fillId="40" borderId="43" xfId="58" applyNumberFormat="1" applyFont="1" applyFill="1" applyBorder="1" applyAlignment="1">
      <alignment horizontal="center" vertical="center" wrapText="1"/>
      <protection/>
    </xf>
    <xf numFmtId="37" fontId="52" fillId="40" borderId="44" xfId="58" applyNumberFormat="1" applyFont="1" applyFill="1" applyBorder="1" applyAlignment="1">
      <alignment horizontal="center" vertical="center" wrapText="1"/>
      <protection/>
    </xf>
    <xf numFmtId="37" fontId="52" fillId="40" borderId="45" xfId="58" applyNumberFormat="1" applyFont="1" applyFill="1" applyBorder="1" applyAlignment="1">
      <alignment horizontal="center" vertical="center" wrapText="1"/>
      <protection/>
    </xf>
    <xf numFmtId="37" fontId="30" fillId="39" borderId="43" xfId="58" applyNumberFormat="1" applyFont="1" applyFill="1" applyBorder="1" applyAlignment="1">
      <alignment horizontal="center" vertical="center" wrapText="1"/>
      <protection/>
    </xf>
    <xf numFmtId="37" fontId="30" fillId="39" borderId="44" xfId="58" applyNumberFormat="1" applyFont="1" applyFill="1" applyBorder="1" applyAlignment="1">
      <alignment horizontal="center" vertical="center" wrapText="1"/>
      <protection/>
    </xf>
    <xf numFmtId="37" fontId="30" fillId="39" borderId="45" xfId="58" applyNumberFormat="1" applyFont="1" applyFill="1" applyBorder="1" applyAlignment="1">
      <alignment horizontal="center" vertical="center" wrapText="1"/>
      <protection/>
    </xf>
    <xf numFmtId="0" fontId="8" fillId="35" borderId="26" xfId="59" applyFont="1" applyFill="1" applyBorder="1" applyAlignment="1">
      <alignment horizontal="center"/>
      <protection/>
    </xf>
    <xf numFmtId="0" fontId="8" fillId="35" borderId="16" xfId="59" applyFont="1" applyFill="1" applyBorder="1" applyAlignment="1">
      <alignment horizontal="center"/>
      <protection/>
    </xf>
    <xf numFmtId="0" fontId="8" fillId="35" borderId="17" xfId="59" applyFont="1" applyFill="1" applyBorder="1" applyAlignment="1">
      <alignment horizontal="center"/>
      <protection/>
    </xf>
    <xf numFmtId="0" fontId="15" fillId="34" borderId="10" xfId="59" applyFont="1" applyFill="1" applyBorder="1" applyAlignment="1">
      <alignment horizontal="center"/>
      <protection/>
    </xf>
    <xf numFmtId="0" fontId="16" fillId="34" borderId="10" xfId="59" applyFont="1" applyFill="1" applyBorder="1">
      <alignment/>
      <protection/>
    </xf>
    <xf numFmtId="37" fontId="30" fillId="0" borderId="42" xfId="58" applyFont="1" applyFill="1" applyBorder="1" applyAlignment="1">
      <alignment horizontal="left" vertical="center" wrapText="1"/>
      <protection/>
    </xf>
    <xf numFmtId="37" fontId="30" fillId="39" borderId="42" xfId="58" applyFont="1" applyFill="1" applyBorder="1" applyAlignment="1">
      <alignment horizontal="center" vertical="center" wrapText="1"/>
      <protection/>
    </xf>
    <xf numFmtId="37" fontId="50" fillId="39" borderId="43" xfId="58" applyNumberFormat="1" applyFont="1" applyFill="1" applyBorder="1" applyAlignment="1">
      <alignment horizontal="right" vertical="center" wrapText="1"/>
      <protection/>
    </xf>
    <xf numFmtId="37" fontId="30" fillId="35" borderId="0" xfId="58" applyFont="1" applyFill="1" applyBorder="1" applyAlignment="1">
      <alignment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Disaster Management Breakouts" xfId="59"/>
    <cellStyle name="Normal_FINL429" xfId="60"/>
    <cellStyle name="Normal_SF424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142" zoomScaleNormal="142" zoomScalePageLayoutView="0" workbookViewId="0" topLeftCell="A10">
      <selection activeCell="H9" sqref="H9"/>
    </sheetView>
  </sheetViews>
  <sheetFormatPr defaultColWidth="9.6640625" defaultRowHeight="15"/>
  <cols>
    <col min="1" max="1" width="5.5546875" style="183" customWidth="1"/>
    <col min="2" max="2" width="41.10546875" style="178" customWidth="1"/>
    <col min="3" max="5" width="9.10546875" style="178" customWidth="1"/>
    <col min="6" max="6" width="9.10546875" style="187" customWidth="1"/>
    <col min="7" max="16384" width="9.6640625" style="173" customWidth="1"/>
  </cols>
  <sheetData>
    <row r="1" spans="1:6" ht="34.5" customHeight="1">
      <c r="A1" s="206" t="s">
        <v>191</v>
      </c>
      <c r="B1" s="207"/>
      <c r="C1" s="207"/>
      <c r="D1" s="207"/>
      <c r="E1" s="207"/>
      <c r="F1" s="208"/>
    </row>
    <row r="2" spans="1:6" ht="21.75" customHeight="1">
      <c r="A2" s="209" t="s">
        <v>182</v>
      </c>
      <c r="B2" s="210"/>
      <c r="C2" s="210"/>
      <c r="D2" s="210"/>
      <c r="E2" s="210"/>
      <c r="F2" s="211"/>
    </row>
    <row r="3" spans="1:6" ht="21.75" customHeight="1">
      <c r="A3" s="209" t="s">
        <v>192</v>
      </c>
      <c r="B3" s="210"/>
      <c r="C3" s="210"/>
      <c r="D3" s="210"/>
      <c r="E3" s="210"/>
      <c r="F3" s="211"/>
    </row>
    <row r="4" spans="1:6" ht="21.75" customHeight="1">
      <c r="A4" s="209" t="s">
        <v>184</v>
      </c>
      <c r="B4" s="210"/>
      <c r="C4" s="210"/>
      <c r="D4" s="210"/>
      <c r="E4" s="210"/>
      <c r="F4" s="211"/>
    </row>
    <row r="5" spans="1:6" ht="22.5" customHeight="1">
      <c r="A5" s="209" t="s">
        <v>177</v>
      </c>
      <c r="B5" s="210"/>
      <c r="C5" s="210"/>
      <c r="D5" s="210"/>
      <c r="E5" s="210"/>
      <c r="F5" s="211"/>
    </row>
    <row r="6" spans="1:6" ht="49.5" customHeight="1">
      <c r="A6" s="192" t="s">
        <v>173</v>
      </c>
      <c r="B6" s="193" t="s">
        <v>176</v>
      </c>
      <c r="C6" s="192" t="s">
        <v>179</v>
      </c>
      <c r="D6" s="192" t="s">
        <v>180</v>
      </c>
      <c r="E6" s="192" t="s">
        <v>181</v>
      </c>
      <c r="F6" s="200" t="s">
        <v>189</v>
      </c>
    </row>
    <row r="7" spans="1:6" s="179" customFormat="1" ht="9" customHeight="1">
      <c r="A7" s="174"/>
      <c r="B7" s="174"/>
      <c r="C7" s="174"/>
      <c r="D7" s="174"/>
      <c r="E7" s="174"/>
      <c r="F7" s="189"/>
    </row>
    <row r="8" spans="1:6" ht="45" customHeight="1">
      <c r="A8" s="180">
        <v>1</v>
      </c>
      <c r="B8" s="194" t="s">
        <v>190</v>
      </c>
      <c r="C8" s="175"/>
      <c r="D8" s="175"/>
      <c r="E8" s="175"/>
      <c r="F8" s="188"/>
    </row>
    <row r="9" spans="1:6" ht="17.25" customHeight="1">
      <c r="A9" s="181">
        <v>1.1</v>
      </c>
      <c r="B9" s="176"/>
      <c r="C9" s="176" t="s">
        <v>178</v>
      </c>
      <c r="D9" s="199"/>
      <c r="E9" s="176"/>
      <c r="F9" s="189">
        <f>D9*E9</f>
        <v>0</v>
      </c>
    </row>
    <row r="10" spans="1:6" ht="17.25" customHeight="1">
      <c r="A10" s="181">
        <v>1.2</v>
      </c>
      <c r="B10" s="176"/>
      <c r="C10" s="176"/>
      <c r="D10" s="199"/>
      <c r="E10" s="176"/>
      <c r="F10" s="189">
        <f>D10*E10</f>
        <v>0</v>
      </c>
    </row>
    <row r="11" spans="1:6" ht="17.25" customHeight="1">
      <c r="A11" s="181">
        <v>1.3</v>
      </c>
      <c r="B11" s="176"/>
      <c r="C11" s="176"/>
      <c r="D11" s="199"/>
      <c r="E11" s="176"/>
      <c r="F11" s="189">
        <f>D11*E11</f>
        <v>0</v>
      </c>
    </row>
    <row r="12" spans="1:6" ht="17.25" customHeight="1">
      <c r="A12" s="181">
        <v>1.4</v>
      </c>
      <c r="B12" s="176"/>
      <c r="C12" s="176"/>
      <c r="D12" s="199"/>
      <c r="E12" s="176"/>
      <c r="F12" s="189">
        <f>D12*E12</f>
        <v>0</v>
      </c>
    </row>
    <row r="13" spans="1:6" ht="26.25" customHeight="1">
      <c r="A13" s="182"/>
      <c r="B13" s="195" t="s">
        <v>174</v>
      </c>
      <c r="C13" s="185"/>
      <c r="D13" s="185"/>
      <c r="E13" s="185"/>
      <c r="F13" s="186">
        <f>SUM(F9:F12)</f>
        <v>0</v>
      </c>
    </row>
    <row r="14" spans="1:6" ht="17.25" customHeight="1">
      <c r="A14" s="180">
        <v>2</v>
      </c>
      <c r="B14" s="175" t="s">
        <v>175</v>
      </c>
      <c r="C14" s="175"/>
      <c r="D14" s="175"/>
      <c r="E14" s="175"/>
      <c r="F14" s="190"/>
    </row>
    <row r="15" spans="1:6" ht="17.25" customHeight="1">
      <c r="A15" s="198">
        <v>2.1</v>
      </c>
      <c r="B15" s="196" t="s">
        <v>183</v>
      </c>
      <c r="C15" s="196"/>
      <c r="D15" s="199"/>
      <c r="E15" s="196"/>
      <c r="F15" s="197">
        <f>D15*E15</f>
        <v>0</v>
      </c>
    </row>
    <row r="16" spans="1:6" s="177" customFormat="1" ht="17.25" customHeight="1">
      <c r="A16" s="181">
        <v>2.2</v>
      </c>
      <c r="B16" s="184"/>
      <c r="C16" s="184"/>
      <c r="D16" s="199"/>
      <c r="E16" s="184"/>
      <c r="F16" s="189">
        <f>D16*E16</f>
        <v>0</v>
      </c>
    </row>
    <row r="17" spans="1:6" s="202" customFormat="1" ht="30.75" customHeight="1">
      <c r="A17" s="182"/>
      <c r="B17" s="195" t="s">
        <v>186</v>
      </c>
      <c r="C17" s="185"/>
      <c r="D17" s="185"/>
      <c r="E17" s="185"/>
      <c r="F17" s="201">
        <f>SUM(F15:F16)</f>
        <v>0</v>
      </c>
    </row>
    <row r="18" spans="1:6" s="220" customFormat="1" ht="28.5" customHeight="1">
      <c r="A18" s="218">
        <v>3</v>
      </c>
      <c r="B18" s="194" t="s">
        <v>194</v>
      </c>
      <c r="C18" s="194"/>
      <c r="D18" s="194"/>
      <c r="E18" s="194"/>
      <c r="F18" s="219"/>
    </row>
    <row r="19" spans="1:6" s="177" customFormat="1" ht="17.25" customHeight="1">
      <c r="A19" s="181">
        <v>3.1</v>
      </c>
      <c r="B19" s="203"/>
      <c r="C19" s="203"/>
      <c r="D19" s="203"/>
      <c r="E19" s="203"/>
      <c r="F19" s="189">
        <f>D19*E19</f>
        <v>0</v>
      </c>
    </row>
    <row r="20" spans="1:6" s="177" customFormat="1" ht="17.25" customHeight="1">
      <c r="A20" s="181">
        <v>3.2</v>
      </c>
      <c r="B20" s="203"/>
      <c r="C20" s="203"/>
      <c r="D20" s="203"/>
      <c r="E20" s="203"/>
      <c r="F20" s="189">
        <f>D20*E20</f>
        <v>0</v>
      </c>
    </row>
    <row r="21" spans="1:6" s="177" customFormat="1" ht="17.25" customHeight="1">
      <c r="A21" s="181">
        <v>3.3</v>
      </c>
      <c r="B21" s="203"/>
      <c r="C21" s="203"/>
      <c r="D21" s="203"/>
      <c r="E21" s="203"/>
      <c r="F21" s="189">
        <f>D21*E21</f>
        <v>0</v>
      </c>
    </row>
    <row r="22" spans="1:6" s="177" customFormat="1" ht="17.25" customHeight="1">
      <c r="A22" s="181">
        <v>3.4</v>
      </c>
      <c r="B22" s="217" t="s">
        <v>195</v>
      </c>
      <c r="C22" s="203"/>
      <c r="D22" s="203"/>
      <c r="E22" s="203"/>
      <c r="F22" s="189">
        <f>D22*E22</f>
        <v>0</v>
      </c>
    </row>
    <row r="23" spans="1:6" s="177" customFormat="1" ht="24" customHeight="1">
      <c r="A23" s="182"/>
      <c r="B23" s="195" t="s">
        <v>174</v>
      </c>
      <c r="C23" s="185"/>
      <c r="D23" s="185"/>
      <c r="E23" s="185"/>
      <c r="F23" s="186">
        <f>SUM(F19:F22)</f>
        <v>0</v>
      </c>
    </row>
    <row r="24" spans="1:6" ht="8.25" customHeight="1">
      <c r="A24" s="204"/>
      <c r="B24" s="204"/>
      <c r="C24" s="204"/>
      <c r="D24" s="204"/>
      <c r="E24" s="204"/>
      <c r="F24" s="205"/>
    </row>
    <row r="25" spans="1:6" s="177" customFormat="1" ht="17.25" customHeight="1">
      <c r="A25" s="180">
        <v>4</v>
      </c>
      <c r="B25" s="175" t="s">
        <v>188</v>
      </c>
      <c r="C25" s="175"/>
      <c r="D25" s="175"/>
      <c r="E25" s="175"/>
      <c r="F25" s="190"/>
    </row>
    <row r="26" spans="1:6" s="177" customFormat="1" ht="17.25" customHeight="1">
      <c r="A26" s="181">
        <v>4.1</v>
      </c>
      <c r="B26" s="176" t="s">
        <v>193</v>
      </c>
      <c r="C26" s="176"/>
      <c r="D26" s="176"/>
      <c r="E26" s="176"/>
      <c r="F26" s="189">
        <f>D26*E26</f>
        <v>0</v>
      </c>
    </row>
    <row r="27" spans="1:6" s="177" customFormat="1" ht="17.25" customHeight="1">
      <c r="A27" s="181">
        <v>4.2</v>
      </c>
      <c r="B27" s="176" t="s">
        <v>185</v>
      </c>
      <c r="C27" s="176"/>
      <c r="D27" s="176"/>
      <c r="E27" s="176"/>
      <c r="F27" s="189">
        <f>D27*E27</f>
        <v>0</v>
      </c>
    </row>
    <row r="28" spans="1:6" s="177" customFormat="1" ht="17.25" customHeight="1">
      <c r="A28" s="181">
        <v>4.3</v>
      </c>
      <c r="B28" s="176"/>
      <c r="C28" s="176"/>
      <c r="D28" s="176"/>
      <c r="E28" s="176"/>
      <c r="F28" s="189">
        <f>D28*E28</f>
        <v>0</v>
      </c>
    </row>
    <row r="29" spans="1:6" s="177" customFormat="1" ht="17.25" customHeight="1">
      <c r="A29" s="181">
        <v>4.4</v>
      </c>
      <c r="B29" s="176"/>
      <c r="C29" s="176"/>
      <c r="D29" s="176"/>
      <c r="E29" s="176"/>
      <c r="F29" s="189">
        <f>D29*E29</f>
        <v>0</v>
      </c>
    </row>
    <row r="30" spans="1:6" s="177" customFormat="1" ht="27" customHeight="1">
      <c r="A30" s="182"/>
      <c r="B30" s="195" t="s">
        <v>174</v>
      </c>
      <c r="C30" s="185"/>
      <c r="D30" s="185"/>
      <c r="E30" s="185"/>
      <c r="F30" s="186">
        <f>SUM(F26:F29)</f>
        <v>0</v>
      </c>
    </row>
    <row r="31" spans="1:6" ht="8.25" customHeight="1">
      <c r="A31" s="204"/>
      <c r="B31" s="204"/>
      <c r="C31" s="204"/>
      <c r="D31" s="204"/>
      <c r="E31" s="204"/>
      <c r="F31" s="205"/>
    </row>
    <row r="32" spans="1:6" ht="29.25" customHeight="1">
      <c r="A32" s="180"/>
      <c r="B32" s="195" t="s">
        <v>187</v>
      </c>
      <c r="C32" s="175"/>
      <c r="D32" s="175"/>
      <c r="E32" s="175"/>
      <c r="F32" s="191">
        <f>F13+F17+F23+F30</f>
        <v>0</v>
      </c>
    </row>
  </sheetData>
  <sheetProtection/>
  <mergeCells count="7">
    <mergeCell ref="A24:F24"/>
    <mergeCell ref="A31:F31"/>
    <mergeCell ref="A1:F1"/>
    <mergeCell ref="A5:F5"/>
    <mergeCell ref="A2:F2"/>
    <mergeCell ref="A3:F3"/>
    <mergeCell ref="A4:F4"/>
  </mergeCells>
  <printOptions horizontalCentered="1"/>
  <pageMargins left="0.25" right="0.25" top="0.75" bottom="0.75" header="0.3" footer="0.3"/>
  <pageSetup horizontalDpi="600" verticalDpi="600" orientation="portrait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3"/>
  <sheetViews>
    <sheetView zoomScalePageLayoutView="0" workbookViewId="0" topLeftCell="A1">
      <selection activeCell="A1" sqref="A1:K1"/>
    </sheetView>
  </sheetViews>
  <sheetFormatPr defaultColWidth="7.10546875" defaultRowHeight="15"/>
  <cols>
    <col min="1" max="1" width="2.88671875" style="1" customWidth="1"/>
    <col min="2" max="2" width="31.4453125" style="96" bestFit="1" customWidth="1"/>
    <col min="3" max="3" width="7.88671875" style="1" customWidth="1"/>
    <col min="4" max="4" width="9.21484375" style="1" customWidth="1"/>
    <col min="5" max="5" width="6.10546875" style="1" customWidth="1"/>
    <col min="6" max="6" width="8.6640625" style="32" customWidth="1"/>
    <col min="7" max="7" width="7.21484375" style="1" customWidth="1"/>
    <col min="8" max="8" width="8.21484375" style="32" customWidth="1"/>
    <col min="9" max="9" width="4.4453125" style="1" customWidth="1"/>
    <col min="10" max="10" width="8.21484375" style="32" customWidth="1"/>
    <col min="11" max="11" width="3.88671875" style="32" customWidth="1"/>
    <col min="12" max="12" width="9.5546875" style="1" customWidth="1"/>
    <col min="13" max="13" width="9.88671875" style="1" customWidth="1"/>
    <col min="14" max="14" width="8.21484375" style="1" customWidth="1"/>
    <col min="15" max="16" width="7.10546875" style="1" customWidth="1"/>
    <col min="17" max="17" width="7.4453125" style="1" bestFit="1" customWidth="1"/>
    <col min="18" max="16384" width="7.10546875" style="1" customWidth="1"/>
  </cols>
  <sheetData>
    <row r="1" spans="1:11" ht="15.75">
      <c r="A1" s="215" t="s">
        <v>18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2">
      <c r="A2" s="212"/>
      <c r="B2" s="213"/>
      <c r="C2" s="213"/>
      <c r="D2" s="213"/>
      <c r="E2" s="213"/>
      <c r="F2" s="213"/>
      <c r="G2" s="213"/>
      <c r="H2" s="213"/>
      <c r="I2" s="213"/>
      <c r="J2" s="213"/>
      <c r="K2" s="214"/>
    </row>
    <row r="3" spans="1:14" ht="12">
      <c r="A3" s="11"/>
      <c r="B3" s="86"/>
      <c r="C3" s="12"/>
      <c r="D3" s="12"/>
      <c r="E3" s="40" t="s">
        <v>42</v>
      </c>
      <c r="F3" s="26"/>
      <c r="G3" s="40" t="s">
        <v>43</v>
      </c>
      <c r="H3" s="26"/>
      <c r="I3" s="40" t="s">
        <v>44</v>
      </c>
      <c r="J3" s="26"/>
      <c r="K3" s="26"/>
      <c r="L3" s="26"/>
      <c r="M3" s="26"/>
      <c r="N3" s="2"/>
    </row>
    <row r="4" spans="1:16" ht="12">
      <c r="A4" s="12"/>
      <c r="B4" s="86"/>
      <c r="C4" s="11"/>
      <c r="D4" s="11"/>
      <c r="E4" s="11" t="s">
        <v>11</v>
      </c>
      <c r="F4" s="41" t="s">
        <v>42</v>
      </c>
      <c r="G4" s="11" t="s">
        <v>12</v>
      </c>
      <c r="H4" s="41" t="s">
        <v>42</v>
      </c>
      <c r="I4" s="11" t="s">
        <v>13</v>
      </c>
      <c r="J4" s="41" t="s">
        <v>42</v>
      </c>
      <c r="K4" s="11" t="s">
        <v>45</v>
      </c>
      <c r="L4" s="41" t="s">
        <v>106</v>
      </c>
      <c r="M4" s="27"/>
      <c r="N4" s="39"/>
      <c r="O4" s="39"/>
      <c r="P4" s="39"/>
    </row>
    <row r="5" spans="1:16" s="6" customFormat="1" ht="12">
      <c r="A5" s="21">
        <v>1</v>
      </c>
      <c r="B5" s="87" t="s">
        <v>23</v>
      </c>
      <c r="C5" s="23" t="s">
        <v>1</v>
      </c>
      <c r="D5" s="23" t="s">
        <v>2</v>
      </c>
      <c r="E5" s="23" t="s">
        <v>14</v>
      </c>
      <c r="F5" s="28" t="s">
        <v>15</v>
      </c>
      <c r="G5" s="23" t="s">
        <v>14</v>
      </c>
      <c r="H5" s="28" t="s">
        <v>16</v>
      </c>
      <c r="I5" s="23" t="s">
        <v>14</v>
      </c>
      <c r="J5" s="28" t="s">
        <v>17</v>
      </c>
      <c r="K5" s="23" t="s">
        <v>14</v>
      </c>
      <c r="L5" s="28" t="s">
        <v>138</v>
      </c>
      <c r="M5" s="28" t="s">
        <v>4</v>
      </c>
      <c r="N5" s="129" t="s">
        <v>21</v>
      </c>
      <c r="O5" s="3"/>
      <c r="P5" s="5"/>
    </row>
    <row r="6" spans="1:16" ht="12" customHeight="1">
      <c r="A6" s="12"/>
      <c r="B6" s="68" t="s">
        <v>147</v>
      </c>
      <c r="C6" s="14">
        <v>1100</v>
      </c>
      <c r="D6" s="25" t="s">
        <v>7</v>
      </c>
      <c r="E6" s="25">
        <v>12</v>
      </c>
      <c r="F6" s="33">
        <f>C6*E6</f>
        <v>13200</v>
      </c>
      <c r="G6" s="25">
        <v>12</v>
      </c>
      <c r="H6" s="33">
        <f aca="true" t="shared" si="0" ref="H6:H15">C6*G6</f>
        <v>13200</v>
      </c>
      <c r="I6" s="15">
        <v>12</v>
      </c>
      <c r="J6" s="33">
        <f>$I$6*C6</f>
        <v>13200</v>
      </c>
      <c r="K6" s="75">
        <v>2</v>
      </c>
      <c r="L6" s="33">
        <f aca="true" t="shared" si="1" ref="L6:L15">C6*K6</f>
        <v>2200</v>
      </c>
      <c r="M6" s="31">
        <f aca="true" t="shared" si="2" ref="M6:M17">F6+H6+J6+L6</f>
        <v>41800</v>
      </c>
      <c r="N6" s="130"/>
      <c r="O6" s="7"/>
      <c r="P6" s="8"/>
    </row>
    <row r="7" spans="1:17" s="80" customFormat="1" ht="24">
      <c r="A7" s="70"/>
      <c r="B7" s="88" t="s">
        <v>103</v>
      </c>
      <c r="C7" s="71">
        <v>900</v>
      </c>
      <c r="D7" s="72" t="s">
        <v>7</v>
      </c>
      <c r="E7" s="72">
        <v>12</v>
      </c>
      <c r="F7" s="73">
        <f aca="true" t="shared" si="3" ref="F7:F15">C7*E7</f>
        <v>10800</v>
      </c>
      <c r="G7" s="25">
        <v>12</v>
      </c>
      <c r="H7" s="73">
        <f t="shared" si="0"/>
        <v>10800</v>
      </c>
      <c r="I7" s="15">
        <v>12</v>
      </c>
      <c r="J7" s="73">
        <f aca="true" t="shared" si="4" ref="J7:J15">I7*C7</f>
        <v>10800</v>
      </c>
      <c r="K7" s="75">
        <v>0</v>
      </c>
      <c r="L7" s="73">
        <f t="shared" si="1"/>
        <v>0</v>
      </c>
      <c r="M7" s="76">
        <f t="shared" si="2"/>
        <v>32400</v>
      </c>
      <c r="N7" s="130"/>
      <c r="O7" s="78"/>
      <c r="P7" s="77"/>
      <c r="Q7" s="79"/>
    </row>
    <row r="8" spans="1:17" s="80" customFormat="1" ht="12">
      <c r="A8" s="70"/>
      <c r="B8" s="88" t="s">
        <v>104</v>
      </c>
      <c r="C8" s="71">
        <v>450</v>
      </c>
      <c r="D8" s="72" t="s">
        <v>7</v>
      </c>
      <c r="E8" s="72">
        <v>12</v>
      </c>
      <c r="F8" s="73">
        <f t="shared" si="3"/>
        <v>5400</v>
      </c>
      <c r="G8" s="25">
        <v>12</v>
      </c>
      <c r="H8" s="73">
        <f t="shared" si="0"/>
        <v>5400</v>
      </c>
      <c r="I8" s="74">
        <v>6</v>
      </c>
      <c r="J8" s="73">
        <f t="shared" si="4"/>
        <v>2700</v>
      </c>
      <c r="K8" s="75">
        <v>0</v>
      </c>
      <c r="L8" s="73">
        <f t="shared" si="1"/>
        <v>0</v>
      </c>
      <c r="M8" s="76">
        <f t="shared" si="2"/>
        <v>13500</v>
      </c>
      <c r="N8" s="130"/>
      <c r="O8" s="78"/>
      <c r="P8" s="77"/>
      <c r="Q8" s="79"/>
    </row>
    <row r="9" spans="1:16" ht="12" customHeight="1">
      <c r="A9" s="12"/>
      <c r="B9" s="68" t="s">
        <v>54</v>
      </c>
      <c r="C9" s="14">
        <v>660</v>
      </c>
      <c r="D9" s="25" t="s">
        <v>7</v>
      </c>
      <c r="E9" s="25">
        <v>12</v>
      </c>
      <c r="F9" s="33">
        <f t="shared" si="3"/>
        <v>7920</v>
      </c>
      <c r="G9" s="25">
        <v>12</v>
      </c>
      <c r="H9" s="33">
        <f t="shared" si="0"/>
        <v>7920</v>
      </c>
      <c r="I9" s="74">
        <v>12</v>
      </c>
      <c r="J9" s="73">
        <f t="shared" si="4"/>
        <v>7920</v>
      </c>
      <c r="K9" s="75">
        <v>0</v>
      </c>
      <c r="L9" s="33">
        <f t="shared" si="1"/>
        <v>0</v>
      </c>
      <c r="M9" s="31">
        <f t="shared" si="2"/>
        <v>23760</v>
      </c>
      <c r="N9" s="130"/>
      <c r="O9" s="7"/>
      <c r="P9" s="8"/>
    </row>
    <row r="10" spans="1:17" s="80" customFormat="1" ht="12">
      <c r="A10" s="70"/>
      <c r="B10" s="68" t="s">
        <v>20</v>
      </c>
      <c r="C10" s="71">
        <v>100</v>
      </c>
      <c r="D10" s="72" t="s">
        <v>7</v>
      </c>
      <c r="E10" s="72">
        <v>12</v>
      </c>
      <c r="F10" s="73">
        <f t="shared" si="3"/>
        <v>1200</v>
      </c>
      <c r="G10" s="25">
        <v>12</v>
      </c>
      <c r="H10" s="73">
        <f t="shared" si="0"/>
        <v>1200</v>
      </c>
      <c r="I10" s="74">
        <v>12</v>
      </c>
      <c r="J10" s="73">
        <f t="shared" si="4"/>
        <v>1200</v>
      </c>
      <c r="K10" s="75">
        <v>0</v>
      </c>
      <c r="L10" s="73">
        <f t="shared" si="1"/>
        <v>0</v>
      </c>
      <c r="M10" s="31">
        <f t="shared" si="2"/>
        <v>3600</v>
      </c>
      <c r="N10" s="130"/>
      <c r="O10" s="78"/>
      <c r="P10" s="77"/>
      <c r="Q10" s="79"/>
    </row>
    <row r="11" spans="1:16" ht="12">
      <c r="A11" s="12"/>
      <c r="B11" s="68" t="s">
        <v>53</v>
      </c>
      <c r="C11" s="14">
        <v>80</v>
      </c>
      <c r="D11" s="25" t="s">
        <v>7</v>
      </c>
      <c r="E11" s="25">
        <v>12</v>
      </c>
      <c r="F11" s="33">
        <f t="shared" si="3"/>
        <v>960</v>
      </c>
      <c r="G11" s="25">
        <v>12</v>
      </c>
      <c r="H11" s="33">
        <f t="shared" si="0"/>
        <v>960</v>
      </c>
      <c r="I11" s="15">
        <v>12</v>
      </c>
      <c r="J11" s="33">
        <f t="shared" si="4"/>
        <v>960</v>
      </c>
      <c r="K11" s="75">
        <v>0</v>
      </c>
      <c r="L11" s="33">
        <f t="shared" si="1"/>
        <v>0</v>
      </c>
      <c r="M11" s="31">
        <f t="shared" si="2"/>
        <v>2880</v>
      </c>
      <c r="N11" s="130"/>
      <c r="O11" s="7"/>
      <c r="P11" s="8"/>
    </row>
    <row r="12" spans="1:17" s="80" customFormat="1" ht="12">
      <c r="A12" s="70"/>
      <c r="B12" s="88" t="s">
        <v>105</v>
      </c>
      <c r="C12" s="71">
        <v>60</v>
      </c>
      <c r="D12" s="72" t="s">
        <v>7</v>
      </c>
      <c r="E12" s="72">
        <v>12</v>
      </c>
      <c r="F12" s="73">
        <f t="shared" si="3"/>
        <v>720</v>
      </c>
      <c r="G12" s="25">
        <v>12</v>
      </c>
      <c r="H12" s="73">
        <f t="shared" si="0"/>
        <v>720</v>
      </c>
      <c r="I12" s="15">
        <v>12</v>
      </c>
      <c r="J12" s="73">
        <f t="shared" si="4"/>
        <v>720</v>
      </c>
      <c r="K12" s="75">
        <v>0</v>
      </c>
      <c r="L12" s="73">
        <f t="shared" si="1"/>
        <v>0</v>
      </c>
      <c r="M12" s="76">
        <f t="shared" si="2"/>
        <v>2160</v>
      </c>
      <c r="N12" s="130"/>
      <c r="O12" s="78"/>
      <c r="P12" s="77"/>
      <c r="Q12" s="79"/>
    </row>
    <row r="13" spans="1:16" ht="12">
      <c r="A13" s="12"/>
      <c r="B13" s="68" t="s">
        <v>0</v>
      </c>
      <c r="C13" s="14">
        <v>100</v>
      </c>
      <c r="D13" s="25" t="s">
        <v>7</v>
      </c>
      <c r="E13" s="25">
        <v>12</v>
      </c>
      <c r="F13" s="33">
        <f t="shared" si="3"/>
        <v>1200</v>
      </c>
      <c r="G13" s="25">
        <v>12</v>
      </c>
      <c r="H13" s="33">
        <f t="shared" si="0"/>
        <v>1200</v>
      </c>
      <c r="I13" s="15">
        <v>12</v>
      </c>
      <c r="J13" s="33">
        <f t="shared" si="4"/>
        <v>1200</v>
      </c>
      <c r="K13" s="75">
        <v>0</v>
      </c>
      <c r="L13" s="33">
        <f t="shared" si="1"/>
        <v>0</v>
      </c>
      <c r="M13" s="31">
        <f t="shared" si="2"/>
        <v>3600</v>
      </c>
      <c r="N13" s="130"/>
      <c r="O13" s="7"/>
      <c r="P13" s="8"/>
    </row>
    <row r="14" spans="1:16" ht="12">
      <c r="A14" s="12"/>
      <c r="B14" s="68" t="s">
        <v>56</v>
      </c>
      <c r="C14" s="14">
        <v>50</v>
      </c>
      <c r="D14" s="25" t="s">
        <v>7</v>
      </c>
      <c r="E14" s="25">
        <v>12</v>
      </c>
      <c r="F14" s="33">
        <f t="shared" si="3"/>
        <v>600</v>
      </c>
      <c r="G14" s="25">
        <v>12</v>
      </c>
      <c r="H14" s="33">
        <f t="shared" si="0"/>
        <v>600</v>
      </c>
      <c r="I14" s="15">
        <v>12</v>
      </c>
      <c r="J14" s="33">
        <f t="shared" si="4"/>
        <v>600</v>
      </c>
      <c r="K14" s="75">
        <v>0</v>
      </c>
      <c r="L14" s="33">
        <f t="shared" si="1"/>
        <v>0</v>
      </c>
      <c r="M14" s="31">
        <f t="shared" si="2"/>
        <v>1800</v>
      </c>
      <c r="N14" s="130"/>
      <c r="O14" s="7"/>
      <c r="P14" s="8"/>
    </row>
    <row r="15" spans="1:16" ht="12">
      <c r="A15" s="12"/>
      <c r="B15" s="68" t="s">
        <v>55</v>
      </c>
      <c r="C15" s="14">
        <v>300</v>
      </c>
      <c r="D15" s="25" t="s">
        <v>7</v>
      </c>
      <c r="E15" s="25">
        <v>12</v>
      </c>
      <c r="F15" s="33">
        <f t="shared" si="3"/>
        <v>3600</v>
      </c>
      <c r="G15" s="25">
        <v>12</v>
      </c>
      <c r="H15" s="33">
        <f t="shared" si="0"/>
        <v>3600</v>
      </c>
      <c r="I15" s="15">
        <v>12</v>
      </c>
      <c r="J15" s="33">
        <f t="shared" si="4"/>
        <v>3600</v>
      </c>
      <c r="K15" s="75">
        <v>0</v>
      </c>
      <c r="L15" s="33">
        <f t="shared" si="1"/>
        <v>0</v>
      </c>
      <c r="M15" s="31">
        <f t="shared" si="2"/>
        <v>10800</v>
      </c>
      <c r="N15" s="130"/>
      <c r="O15" s="7"/>
      <c r="P15" s="8"/>
    </row>
    <row r="16" spans="1:16" ht="12">
      <c r="A16" s="12"/>
      <c r="B16" s="68" t="s">
        <v>22</v>
      </c>
      <c r="C16" s="14">
        <v>600</v>
      </c>
      <c r="D16" s="25" t="s">
        <v>7</v>
      </c>
      <c r="E16" s="25"/>
      <c r="F16" s="33">
        <v>0</v>
      </c>
      <c r="G16" s="25"/>
      <c r="H16" s="33">
        <v>0</v>
      </c>
      <c r="I16" s="15"/>
      <c r="J16" s="33">
        <v>0</v>
      </c>
      <c r="K16" s="33"/>
      <c r="L16" s="33">
        <v>0</v>
      </c>
      <c r="M16" s="31">
        <f t="shared" si="2"/>
        <v>0</v>
      </c>
      <c r="N16" s="130">
        <v>24000</v>
      </c>
      <c r="O16" s="7"/>
      <c r="P16" s="8"/>
    </row>
    <row r="17" spans="1:16" ht="12">
      <c r="A17" s="12"/>
      <c r="B17" s="88" t="s">
        <v>118</v>
      </c>
      <c r="C17" s="14">
        <v>3000</v>
      </c>
      <c r="D17" s="25"/>
      <c r="E17" s="25"/>
      <c r="F17" s="33">
        <v>3000</v>
      </c>
      <c r="G17" s="25"/>
      <c r="H17" s="33">
        <v>0</v>
      </c>
      <c r="I17" s="15"/>
      <c r="J17" s="33">
        <v>0</v>
      </c>
      <c r="K17" s="33"/>
      <c r="L17" s="33">
        <v>0</v>
      </c>
      <c r="M17" s="31">
        <f t="shared" si="2"/>
        <v>3000</v>
      </c>
      <c r="N17" s="130"/>
      <c r="O17" s="7"/>
      <c r="P17" s="8"/>
    </row>
    <row r="18" spans="1:16" ht="12">
      <c r="A18" s="12"/>
      <c r="B18" s="68"/>
      <c r="C18" s="14"/>
      <c r="D18" s="25"/>
      <c r="E18" s="25"/>
      <c r="F18" s="34">
        <f>SUM(F6:F17)</f>
        <v>48600</v>
      </c>
      <c r="G18" s="25"/>
      <c r="H18" s="34">
        <f>SUM(H6:H17)</f>
        <v>45600</v>
      </c>
      <c r="I18" s="15"/>
      <c r="J18" s="34">
        <f>SUM(J6:J17)</f>
        <v>42900</v>
      </c>
      <c r="K18" s="34"/>
      <c r="L18" s="34">
        <f>SUM(L6:L17)</f>
        <v>2200</v>
      </c>
      <c r="M18" s="34">
        <f>SUM(M6:M17)</f>
        <v>139300</v>
      </c>
      <c r="N18" s="130"/>
      <c r="O18" s="7"/>
      <c r="P18" s="8"/>
    </row>
    <row r="19" spans="1:14" ht="12">
      <c r="A19" s="12"/>
      <c r="B19" s="89" t="s">
        <v>26</v>
      </c>
      <c r="C19" s="20"/>
      <c r="D19" s="20"/>
      <c r="E19" s="20"/>
      <c r="F19" s="30">
        <f>F18</f>
        <v>48600</v>
      </c>
      <c r="G19" s="20"/>
      <c r="H19" s="30">
        <f>H18</f>
        <v>45600</v>
      </c>
      <c r="I19" s="20"/>
      <c r="J19" s="30">
        <f>J18</f>
        <v>42900</v>
      </c>
      <c r="K19" s="30"/>
      <c r="L19" s="30">
        <f>L18</f>
        <v>2200</v>
      </c>
      <c r="M19" s="30">
        <f>SUM(F19:L19)</f>
        <v>139300</v>
      </c>
      <c r="N19" s="131">
        <f>SUM(N6:N18)</f>
        <v>24000</v>
      </c>
    </row>
    <row r="20" spans="1:14" ht="12">
      <c r="A20" s="12"/>
      <c r="B20" s="89"/>
      <c r="C20" s="20"/>
      <c r="D20" s="20"/>
      <c r="E20" s="20"/>
      <c r="F20" s="30"/>
      <c r="G20" s="20"/>
      <c r="H20" s="30"/>
      <c r="I20" s="20"/>
      <c r="J20" s="30"/>
      <c r="K20" s="30"/>
      <c r="L20" s="30"/>
      <c r="M20" s="30"/>
      <c r="N20" s="131"/>
    </row>
    <row r="21" spans="1:14" ht="12">
      <c r="A21" s="83">
        <v>2</v>
      </c>
      <c r="B21" s="90" t="s">
        <v>94</v>
      </c>
      <c r="C21" s="20"/>
      <c r="D21" s="20"/>
      <c r="E21" s="20"/>
      <c r="F21" s="30"/>
      <c r="G21" s="20"/>
      <c r="H21" s="30"/>
      <c r="I21" s="20"/>
      <c r="J21" s="30"/>
      <c r="K21" s="30"/>
      <c r="L21" s="30"/>
      <c r="M21" s="30"/>
      <c r="N21" s="131"/>
    </row>
    <row r="22" spans="1:17" ht="12">
      <c r="A22" s="21" t="s">
        <v>81</v>
      </c>
      <c r="B22" s="22" t="s">
        <v>78</v>
      </c>
      <c r="C22" s="23"/>
      <c r="D22" s="23"/>
      <c r="E22" s="23"/>
      <c r="F22" s="28"/>
      <c r="G22" s="23"/>
      <c r="H22" s="28"/>
      <c r="I22" s="23"/>
      <c r="J22" s="28"/>
      <c r="K22" s="28"/>
      <c r="L22" s="28"/>
      <c r="M22" s="28"/>
      <c r="N22" s="129"/>
      <c r="O22" s="4"/>
      <c r="P22" s="5"/>
      <c r="Q22" s="9"/>
    </row>
    <row r="23" spans="1:16" ht="12">
      <c r="A23" s="12"/>
      <c r="B23" s="68" t="s">
        <v>79</v>
      </c>
      <c r="C23" s="14">
        <v>150</v>
      </c>
      <c r="D23" s="25" t="s">
        <v>3</v>
      </c>
      <c r="E23" s="25">
        <f>5000/150</f>
        <v>33.333333333333336</v>
      </c>
      <c r="F23" s="33">
        <f>E23*C23</f>
        <v>5000</v>
      </c>
      <c r="G23" s="25"/>
      <c r="H23" s="33"/>
      <c r="I23" s="15"/>
      <c r="J23" s="33"/>
      <c r="K23" s="33"/>
      <c r="L23" s="33"/>
      <c r="M23" s="31">
        <f>F23+H23+J23+L23</f>
        <v>5000</v>
      </c>
      <c r="N23" s="130"/>
      <c r="O23" s="7"/>
      <c r="P23" s="10"/>
    </row>
    <row r="24" spans="1:16" ht="12">
      <c r="A24" s="12"/>
      <c r="B24" s="68" t="s">
        <v>66</v>
      </c>
      <c r="C24" s="14">
        <v>150</v>
      </c>
      <c r="D24" s="25" t="s">
        <v>3</v>
      </c>
      <c r="E24" s="25">
        <v>10</v>
      </c>
      <c r="F24" s="33">
        <f>E24*C24</f>
        <v>1500</v>
      </c>
      <c r="G24" s="25"/>
      <c r="H24" s="33"/>
      <c r="I24" s="15"/>
      <c r="J24" s="33"/>
      <c r="K24" s="33"/>
      <c r="L24" s="33"/>
      <c r="M24" s="31">
        <f>F24+H24+J24+L24</f>
        <v>1500</v>
      </c>
      <c r="N24" s="130"/>
      <c r="O24" s="7"/>
      <c r="P24" s="10"/>
    </row>
    <row r="25" spans="1:16" ht="12">
      <c r="A25" s="12"/>
      <c r="B25" s="68" t="s">
        <v>67</v>
      </c>
      <c r="C25" s="14">
        <v>1725</v>
      </c>
      <c r="D25" s="25"/>
      <c r="E25" s="25">
        <v>1</v>
      </c>
      <c r="F25" s="33">
        <f>E25*C25</f>
        <v>1725</v>
      </c>
      <c r="G25" s="25"/>
      <c r="H25" s="33"/>
      <c r="I25" s="15"/>
      <c r="J25" s="33"/>
      <c r="K25" s="33"/>
      <c r="L25" s="33"/>
      <c r="M25" s="31">
        <f>F25+H25+J25+L25</f>
        <v>1725</v>
      </c>
      <c r="N25" s="130"/>
      <c r="O25" s="7"/>
      <c r="P25" s="10"/>
    </row>
    <row r="26" spans="1:17" s="6" customFormat="1" ht="12">
      <c r="A26" s="19"/>
      <c r="B26" s="91"/>
      <c r="C26" s="17"/>
      <c r="D26" s="17"/>
      <c r="E26" s="17"/>
      <c r="F26" s="104">
        <f>SUM(F23:F25)</f>
        <v>8225</v>
      </c>
      <c r="G26" s="17"/>
      <c r="H26" s="104">
        <f>SUM(H23:H25)</f>
        <v>0</v>
      </c>
      <c r="I26" s="17"/>
      <c r="J26" s="30"/>
      <c r="K26" s="30"/>
      <c r="L26" s="30"/>
      <c r="M26" s="104">
        <f>SUM(M23:M25)</f>
        <v>8225</v>
      </c>
      <c r="N26" s="132"/>
      <c r="Q26" s="105"/>
    </row>
    <row r="27" spans="1:17" ht="12">
      <c r="A27" s="21" t="s">
        <v>82</v>
      </c>
      <c r="B27" s="87" t="s">
        <v>80</v>
      </c>
      <c r="C27" s="23"/>
      <c r="D27" s="23"/>
      <c r="E27" s="23"/>
      <c r="F27" s="28"/>
      <c r="G27" s="23"/>
      <c r="H27" s="28"/>
      <c r="I27" s="23"/>
      <c r="J27" s="28"/>
      <c r="K27" s="28"/>
      <c r="L27" s="28"/>
      <c r="M27" s="28"/>
      <c r="N27" s="129"/>
      <c r="O27" s="4"/>
      <c r="P27" s="5"/>
      <c r="Q27" s="9"/>
    </row>
    <row r="28" spans="1:16" ht="12">
      <c r="A28" s="12"/>
      <c r="B28" s="68" t="s">
        <v>64</v>
      </c>
      <c r="C28" s="14">
        <v>10</v>
      </c>
      <c r="D28" s="25" t="s">
        <v>24</v>
      </c>
      <c r="E28" s="25">
        <v>35</v>
      </c>
      <c r="F28" s="33">
        <f>E28*C28</f>
        <v>350</v>
      </c>
      <c r="G28" s="25"/>
      <c r="H28" s="33"/>
      <c r="I28" s="15"/>
      <c r="J28" s="33"/>
      <c r="K28" s="33"/>
      <c r="L28" s="33"/>
      <c r="M28" s="31">
        <f>F28+H28+J28+L28</f>
        <v>350</v>
      </c>
      <c r="N28" s="130"/>
      <c r="O28" s="7"/>
      <c r="P28" s="10"/>
    </row>
    <row r="29" spans="1:16" ht="12">
      <c r="A29" s="12"/>
      <c r="B29" s="68" t="s">
        <v>30</v>
      </c>
      <c r="C29" s="14">
        <v>7.5</v>
      </c>
      <c r="D29" s="67" t="s">
        <v>25</v>
      </c>
      <c r="E29" s="25">
        <v>7</v>
      </c>
      <c r="F29" s="33">
        <f>E29*C29</f>
        <v>52.5</v>
      </c>
      <c r="G29" s="25"/>
      <c r="H29" s="33"/>
      <c r="I29" s="15"/>
      <c r="J29" s="33"/>
      <c r="K29" s="33"/>
      <c r="L29" s="33"/>
      <c r="M29" s="31">
        <f>F29+H29+J29+L29</f>
        <v>52.5</v>
      </c>
      <c r="N29" s="130"/>
      <c r="O29" s="7"/>
      <c r="P29" s="10"/>
    </row>
    <row r="30" spans="1:16" ht="12">
      <c r="A30" s="12"/>
      <c r="B30" s="68" t="s">
        <v>65</v>
      </c>
      <c r="C30" s="14">
        <v>250</v>
      </c>
      <c r="D30" s="25"/>
      <c r="E30" s="25">
        <v>0</v>
      </c>
      <c r="F30" s="33"/>
      <c r="G30" s="25"/>
      <c r="H30" s="33"/>
      <c r="I30" s="15"/>
      <c r="J30" s="33"/>
      <c r="K30" s="33"/>
      <c r="L30" s="33"/>
      <c r="M30" s="31">
        <f>F30+H30+J30+L30</f>
        <v>0</v>
      </c>
      <c r="N30" s="130">
        <f>C30*6</f>
        <v>1500</v>
      </c>
      <c r="O30" s="7"/>
      <c r="P30" s="10"/>
    </row>
    <row r="31" spans="1:16" ht="12">
      <c r="A31" s="12"/>
      <c r="B31" s="68" t="s">
        <v>68</v>
      </c>
      <c r="C31" s="14">
        <v>150</v>
      </c>
      <c r="D31" s="25" t="s">
        <v>3</v>
      </c>
      <c r="E31" s="25">
        <v>5</v>
      </c>
      <c r="F31" s="33">
        <f>E31*C31</f>
        <v>750</v>
      </c>
      <c r="G31" s="25"/>
      <c r="H31" s="33"/>
      <c r="I31" s="15"/>
      <c r="J31" s="33"/>
      <c r="K31" s="33"/>
      <c r="L31" s="33"/>
      <c r="M31" s="31">
        <f>F31+H31+J31+L31</f>
        <v>750</v>
      </c>
      <c r="N31" s="130"/>
      <c r="O31" s="7"/>
      <c r="P31" s="10"/>
    </row>
    <row r="32" spans="1:17" s="110" customFormat="1" ht="12">
      <c r="A32" s="109"/>
      <c r="B32" s="106"/>
      <c r="C32" s="107"/>
      <c r="D32" s="107"/>
      <c r="E32" s="107"/>
      <c r="F32" s="104">
        <f>SUM(F28:F31)</f>
        <v>1152.5</v>
      </c>
      <c r="G32" s="107"/>
      <c r="H32" s="104">
        <f>SUM(H28:H31)</f>
        <v>0</v>
      </c>
      <c r="I32" s="107"/>
      <c r="J32" s="108"/>
      <c r="K32" s="108"/>
      <c r="L32" s="108"/>
      <c r="M32" s="104">
        <f>SUM(M28:M31)</f>
        <v>1152.5</v>
      </c>
      <c r="N32" s="139">
        <f>SUM(N28:N31)</f>
        <v>1500</v>
      </c>
      <c r="Q32" s="111"/>
    </row>
    <row r="33" spans="1:14" ht="12">
      <c r="A33" s="12"/>
      <c r="B33" s="89"/>
      <c r="C33" s="20"/>
      <c r="D33" s="20"/>
      <c r="E33" s="20"/>
      <c r="F33" s="30"/>
      <c r="G33" s="20"/>
      <c r="H33" s="30"/>
      <c r="I33" s="20"/>
      <c r="J33" s="30"/>
      <c r="K33" s="30"/>
      <c r="L33" s="30"/>
      <c r="M33" s="30"/>
      <c r="N33" s="131"/>
    </row>
    <row r="34" spans="1:17" ht="12">
      <c r="A34" s="21" t="s">
        <v>83</v>
      </c>
      <c r="B34" s="22" t="s">
        <v>111</v>
      </c>
      <c r="C34" s="23"/>
      <c r="D34" s="23"/>
      <c r="E34" s="23"/>
      <c r="F34" s="28"/>
      <c r="G34" s="23"/>
      <c r="H34" s="28"/>
      <c r="I34" s="23"/>
      <c r="J34" s="28"/>
      <c r="K34" s="28"/>
      <c r="L34" s="28"/>
      <c r="M34" s="28"/>
      <c r="N34" s="129"/>
      <c r="O34" s="4"/>
      <c r="P34" s="5"/>
      <c r="Q34" s="9"/>
    </row>
    <row r="35" spans="1:16" ht="12">
      <c r="A35" s="12"/>
      <c r="B35" s="68" t="s">
        <v>35</v>
      </c>
      <c r="C35" s="14">
        <v>150</v>
      </c>
      <c r="D35" s="25" t="s">
        <v>6</v>
      </c>
      <c r="E35" s="25">
        <v>18</v>
      </c>
      <c r="F35" s="33">
        <f>E35*C35</f>
        <v>2700</v>
      </c>
      <c r="G35" s="25">
        <f>G34</f>
        <v>0</v>
      </c>
      <c r="H35" s="33">
        <f>C35*G35</f>
        <v>0</v>
      </c>
      <c r="I35" s="15"/>
      <c r="J35" s="33"/>
      <c r="K35" s="33"/>
      <c r="L35" s="33"/>
      <c r="M35" s="31">
        <f aca="true" t="shared" si="5" ref="M35:M45">F35+H35+J35+L35</f>
        <v>2700</v>
      </c>
      <c r="N35" s="130"/>
      <c r="O35" s="7"/>
      <c r="P35" s="10"/>
    </row>
    <row r="36" spans="1:17" s="80" customFormat="1" ht="12">
      <c r="A36" s="70"/>
      <c r="B36" s="88" t="s">
        <v>36</v>
      </c>
      <c r="C36" s="71">
        <v>60</v>
      </c>
      <c r="D36" s="72" t="s">
        <v>41</v>
      </c>
      <c r="E36" s="72">
        <f>18*5</f>
        <v>90</v>
      </c>
      <c r="F36" s="73">
        <f>E36*C36</f>
        <v>5400</v>
      </c>
      <c r="G36" s="72">
        <f>G34*5</f>
        <v>0</v>
      </c>
      <c r="H36" s="73">
        <f>C36*G36</f>
        <v>0</v>
      </c>
      <c r="I36" s="74"/>
      <c r="J36" s="73"/>
      <c r="K36" s="73"/>
      <c r="L36" s="73"/>
      <c r="M36" s="76">
        <f t="shared" si="5"/>
        <v>5400</v>
      </c>
      <c r="N36" s="130"/>
      <c r="O36" s="78"/>
      <c r="P36" s="81"/>
      <c r="Q36" s="79"/>
    </row>
    <row r="37" spans="1:16" ht="12">
      <c r="A37" s="12"/>
      <c r="B37" s="68" t="s">
        <v>61</v>
      </c>
      <c r="C37" s="14">
        <v>30</v>
      </c>
      <c r="D37" s="25" t="s">
        <v>37</v>
      </c>
      <c r="E37" s="25">
        <f>480/2</f>
        <v>240</v>
      </c>
      <c r="F37" s="33">
        <f>E37*C37</f>
        <v>7200</v>
      </c>
      <c r="G37" s="25">
        <f>G34*20</f>
        <v>0</v>
      </c>
      <c r="H37" s="33">
        <f>C37*G37</f>
        <v>0</v>
      </c>
      <c r="I37" s="15"/>
      <c r="J37" s="33"/>
      <c r="K37" s="33"/>
      <c r="L37" s="33"/>
      <c r="M37" s="31">
        <f t="shared" si="5"/>
        <v>7200</v>
      </c>
      <c r="N37" s="130"/>
      <c r="O37" s="7"/>
      <c r="P37" s="10"/>
    </row>
    <row r="38" spans="1:17" s="80" customFormat="1" ht="12">
      <c r="A38" s="70"/>
      <c r="B38" s="88" t="s">
        <v>38</v>
      </c>
      <c r="C38" s="71">
        <v>40</v>
      </c>
      <c r="D38" s="72" t="s">
        <v>34</v>
      </c>
      <c r="E38" s="72">
        <f>(480/4)*5</f>
        <v>600</v>
      </c>
      <c r="F38" s="73">
        <f>E38*C38</f>
        <v>24000</v>
      </c>
      <c r="G38" s="72">
        <f>G34*5*20*0.25</f>
        <v>0</v>
      </c>
      <c r="H38" s="73">
        <f>C38*G38</f>
        <v>0</v>
      </c>
      <c r="I38" s="74"/>
      <c r="J38" s="73"/>
      <c r="K38" s="73"/>
      <c r="L38" s="73"/>
      <c r="M38" s="76">
        <f t="shared" si="5"/>
        <v>24000</v>
      </c>
      <c r="N38" s="130"/>
      <c r="O38" s="78"/>
      <c r="P38" s="81"/>
      <c r="Q38" s="79"/>
    </row>
    <row r="39" spans="1:16" ht="12">
      <c r="A39" s="12"/>
      <c r="B39" s="68" t="s">
        <v>27</v>
      </c>
      <c r="C39" s="14">
        <v>7</v>
      </c>
      <c r="D39" s="25" t="s">
        <v>24</v>
      </c>
      <c r="E39" s="25">
        <f>480*4</f>
        <v>1920</v>
      </c>
      <c r="F39" s="33">
        <f>E39*C39</f>
        <v>13440</v>
      </c>
      <c r="G39" s="25">
        <f>G34*6*20</f>
        <v>0</v>
      </c>
      <c r="H39" s="33">
        <f>C39*G39</f>
        <v>0</v>
      </c>
      <c r="I39" s="15"/>
      <c r="J39" s="33"/>
      <c r="K39" s="33"/>
      <c r="L39" s="33"/>
      <c r="M39" s="31">
        <f t="shared" si="5"/>
        <v>13440</v>
      </c>
      <c r="N39" s="130"/>
      <c r="O39" s="7"/>
      <c r="P39" s="10"/>
    </row>
    <row r="40" spans="1:16" ht="12">
      <c r="A40" s="12"/>
      <c r="B40" s="68" t="s">
        <v>28</v>
      </c>
      <c r="C40" s="14">
        <v>250</v>
      </c>
      <c r="D40" s="25" t="s">
        <v>3</v>
      </c>
      <c r="E40" s="25">
        <f>2*4</f>
        <v>8</v>
      </c>
      <c r="F40" s="33">
        <v>0</v>
      </c>
      <c r="G40" s="25">
        <v>0</v>
      </c>
      <c r="H40" s="33">
        <v>0</v>
      </c>
      <c r="I40" s="15"/>
      <c r="J40" s="33"/>
      <c r="K40" s="33"/>
      <c r="L40" s="33"/>
      <c r="M40" s="31">
        <f t="shared" si="5"/>
        <v>0</v>
      </c>
      <c r="N40" s="130">
        <f>C40*E40</f>
        <v>2000</v>
      </c>
      <c r="O40" s="7"/>
      <c r="P40" s="10"/>
    </row>
    <row r="41" spans="1:17" s="80" customFormat="1" ht="12">
      <c r="A41" s="70"/>
      <c r="B41" s="88" t="s">
        <v>29</v>
      </c>
      <c r="C41" s="71">
        <v>100</v>
      </c>
      <c r="D41" s="72" t="s">
        <v>3</v>
      </c>
      <c r="E41" s="72">
        <f>18*4</f>
        <v>72</v>
      </c>
      <c r="F41" s="73">
        <f>E41*C41</f>
        <v>7200</v>
      </c>
      <c r="G41" s="72">
        <v>0</v>
      </c>
      <c r="H41" s="73">
        <f>C41*G41</f>
        <v>0</v>
      </c>
      <c r="I41" s="74"/>
      <c r="J41" s="73"/>
      <c r="K41" s="73"/>
      <c r="L41" s="73"/>
      <c r="M41" s="76">
        <f t="shared" si="5"/>
        <v>7200</v>
      </c>
      <c r="N41" s="130"/>
      <c r="O41" s="78"/>
      <c r="P41" s="81"/>
      <c r="Q41" s="79"/>
    </row>
    <row r="42" spans="1:16" ht="12">
      <c r="A42" s="12"/>
      <c r="B42" s="68" t="s">
        <v>30</v>
      </c>
      <c r="C42" s="14">
        <v>7.5</v>
      </c>
      <c r="D42" s="25" t="s">
        <v>33</v>
      </c>
      <c r="E42" s="25">
        <v>480</v>
      </c>
      <c r="F42" s="33">
        <f>E42*C42</f>
        <v>3600</v>
      </c>
      <c r="G42" s="25">
        <f>G47*20</f>
        <v>0</v>
      </c>
      <c r="H42" s="33">
        <f>C42*G42</f>
        <v>0</v>
      </c>
      <c r="I42" s="15"/>
      <c r="J42" s="33"/>
      <c r="K42" s="33"/>
      <c r="L42" s="33"/>
      <c r="M42" s="31">
        <f t="shared" si="5"/>
        <v>3600</v>
      </c>
      <c r="N42" s="130"/>
      <c r="O42" s="7"/>
      <c r="P42" s="10"/>
    </row>
    <row r="43" spans="1:16" ht="12">
      <c r="A43" s="12"/>
      <c r="B43" s="68" t="s">
        <v>62</v>
      </c>
      <c r="C43" s="14">
        <v>100</v>
      </c>
      <c r="D43" s="25" t="s">
        <v>63</v>
      </c>
      <c r="E43" s="25">
        <v>20</v>
      </c>
      <c r="F43" s="33">
        <f>E43*C43</f>
        <v>2000</v>
      </c>
      <c r="G43" s="25">
        <f>G34*20</f>
        <v>0</v>
      </c>
      <c r="H43" s="33">
        <f>C43*G43</f>
        <v>0</v>
      </c>
      <c r="I43" s="15"/>
      <c r="J43" s="33"/>
      <c r="K43" s="33"/>
      <c r="L43" s="33"/>
      <c r="M43" s="31">
        <f t="shared" si="5"/>
        <v>2000</v>
      </c>
      <c r="N43" s="130"/>
      <c r="O43" s="7"/>
      <c r="P43" s="10"/>
    </row>
    <row r="44" spans="1:16" ht="12">
      <c r="A44" s="12"/>
      <c r="B44" s="88" t="s">
        <v>113</v>
      </c>
      <c r="C44" s="14">
        <v>2500</v>
      </c>
      <c r="D44" s="25" t="s">
        <v>32</v>
      </c>
      <c r="E44" s="25">
        <v>1</v>
      </c>
      <c r="F44" s="33">
        <f>E44*C44</f>
        <v>2500</v>
      </c>
      <c r="G44" s="25">
        <v>0</v>
      </c>
      <c r="H44" s="33">
        <f>C44*G44</f>
        <v>0</v>
      </c>
      <c r="I44" s="15"/>
      <c r="J44" s="33"/>
      <c r="K44" s="33"/>
      <c r="L44" s="33"/>
      <c r="M44" s="31">
        <f t="shared" si="5"/>
        <v>2500</v>
      </c>
      <c r="N44" s="130"/>
      <c r="O44" s="7"/>
      <c r="P44" s="10"/>
    </row>
    <row r="45" spans="1:16" ht="12">
      <c r="A45" s="12"/>
      <c r="B45" s="68" t="s">
        <v>31</v>
      </c>
      <c r="C45" s="14">
        <v>150</v>
      </c>
      <c r="D45" s="25" t="s">
        <v>3</v>
      </c>
      <c r="E45" s="25">
        <f>4*20</f>
        <v>80</v>
      </c>
      <c r="F45" s="33">
        <f>E45*C45</f>
        <v>12000</v>
      </c>
      <c r="G45" s="25">
        <f>6*G34</f>
        <v>0</v>
      </c>
      <c r="H45" s="33">
        <f>C45*G45</f>
        <v>0</v>
      </c>
      <c r="I45" s="15"/>
      <c r="J45" s="33"/>
      <c r="K45" s="33"/>
      <c r="L45" s="33"/>
      <c r="M45" s="31">
        <f t="shared" si="5"/>
        <v>12000</v>
      </c>
      <c r="N45" s="130"/>
      <c r="O45" s="7"/>
      <c r="P45" s="10"/>
    </row>
    <row r="46" spans="1:17" s="6" customFormat="1" ht="12">
      <c r="A46" s="19"/>
      <c r="B46" s="91"/>
      <c r="C46" s="17"/>
      <c r="D46" s="17"/>
      <c r="E46" s="17"/>
      <c r="F46" s="104">
        <f>SUM(F35:F45)</f>
        <v>80040</v>
      </c>
      <c r="G46" s="17"/>
      <c r="H46" s="104">
        <f>SUM(H35:H45)</f>
        <v>0</v>
      </c>
      <c r="I46" s="17"/>
      <c r="J46" s="30"/>
      <c r="K46" s="30"/>
      <c r="L46" s="30"/>
      <c r="M46" s="104">
        <f>SUM(M35:M45)</f>
        <v>80040</v>
      </c>
      <c r="N46" s="139">
        <f>SUM(N35:N45)</f>
        <v>2000</v>
      </c>
      <c r="Q46" s="105"/>
    </row>
    <row r="47" spans="1:14" ht="12">
      <c r="A47" s="12"/>
      <c r="B47" s="89" t="s">
        <v>95</v>
      </c>
      <c r="C47" s="20"/>
      <c r="D47" s="20"/>
      <c r="E47" s="20"/>
      <c r="F47" s="30">
        <f>F46+F32+F26</f>
        <v>89417.5</v>
      </c>
      <c r="G47" s="20"/>
      <c r="H47" s="30">
        <f>SUM(H28:H32)</f>
        <v>0</v>
      </c>
      <c r="I47" s="20"/>
      <c r="J47" s="30">
        <f>SUM(J28:J32)</f>
        <v>0</v>
      </c>
      <c r="K47" s="30"/>
      <c r="L47" s="30">
        <f>SUM(L28:L32)</f>
        <v>0</v>
      </c>
      <c r="M47" s="30">
        <f>M46+M32+M26</f>
        <v>89417.5</v>
      </c>
      <c r="N47" s="140">
        <f>N46+N32+N26</f>
        <v>3500</v>
      </c>
    </row>
    <row r="48" spans="1:14" ht="12">
      <c r="A48" s="12"/>
      <c r="B48" s="89"/>
      <c r="C48" s="20"/>
      <c r="D48" s="20"/>
      <c r="E48" s="20"/>
      <c r="F48" s="30"/>
      <c r="G48" s="20"/>
      <c r="H48" s="30"/>
      <c r="I48" s="20"/>
      <c r="J48" s="30"/>
      <c r="K48" s="30"/>
      <c r="L48" s="30"/>
      <c r="M48" s="30"/>
      <c r="N48" s="131"/>
    </row>
    <row r="49" spans="1:14" ht="24">
      <c r="A49" s="12">
        <v>3</v>
      </c>
      <c r="B49" s="90" t="s">
        <v>86</v>
      </c>
      <c r="C49" s="20"/>
      <c r="D49" s="20"/>
      <c r="E49" s="20"/>
      <c r="F49" s="30"/>
      <c r="G49" s="20"/>
      <c r="H49" s="30"/>
      <c r="I49" s="20"/>
      <c r="J49" s="30"/>
      <c r="K49" s="30"/>
      <c r="L49" s="30"/>
      <c r="M49" s="30"/>
      <c r="N49" s="131"/>
    </row>
    <row r="50" spans="1:17" ht="12">
      <c r="A50" s="21" t="s">
        <v>84</v>
      </c>
      <c r="B50" s="22" t="s">
        <v>96</v>
      </c>
      <c r="C50" s="23"/>
      <c r="D50" s="23"/>
      <c r="E50" s="23"/>
      <c r="F50" s="28"/>
      <c r="G50" s="23"/>
      <c r="H50" s="28"/>
      <c r="I50" s="23"/>
      <c r="J50" s="28"/>
      <c r="K50" s="28"/>
      <c r="L50" s="28"/>
      <c r="M50" s="28"/>
      <c r="N50" s="129"/>
      <c r="O50" s="4"/>
      <c r="P50" s="5"/>
      <c r="Q50" s="9"/>
    </row>
    <row r="51" spans="1:16" ht="12">
      <c r="A51" s="12"/>
      <c r="B51" s="68" t="s">
        <v>85</v>
      </c>
      <c r="C51" s="14">
        <v>150</v>
      </c>
      <c r="D51" s="25" t="s">
        <v>3</v>
      </c>
      <c r="E51" s="25">
        <v>12</v>
      </c>
      <c r="F51" s="33">
        <f>E51*C51</f>
        <v>1800</v>
      </c>
      <c r="G51" s="25"/>
      <c r="H51" s="33"/>
      <c r="I51" s="15"/>
      <c r="J51" s="33"/>
      <c r="K51" s="33"/>
      <c r="L51" s="33"/>
      <c r="M51" s="31">
        <f>F51+H51+J51+L51</f>
        <v>1800</v>
      </c>
      <c r="N51" s="130"/>
      <c r="O51" s="7"/>
      <c r="P51" s="10"/>
    </row>
    <row r="52" spans="1:17" s="6" customFormat="1" ht="12">
      <c r="A52" s="19"/>
      <c r="B52" s="92" t="s">
        <v>92</v>
      </c>
      <c r="C52" s="17"/>
      <c r="D52" s="17"/>
      <c r="E52" s="17"/>
      <c r="F52" s="104">
        <f>SUM(F51:F51)</f>
        <v>1800</v>
      </c>
      <c r="G52" s="17"/>
      <c r="H52" s="104">
        <f>SUM(H51:H51)</f>
        <v>0</v>
      </c>
      <c r="I52" s="17"/>
      <c r="J52" s="30"/>
      <c r="K52" s="30"/>
      <c r="L52" s="30"/>
      <c r="M52" s="104">
        <f>SUM(M51:M51)</f>
        <v>1800</v>
      </c>
      <c r="N52" s="132"/>
      <c r="Q52" s="105"/>
    </row>
    <row r="53" spans="1:17" ht="24">
      <c r="A53" s="21" t="s">
        <v>88</v>
      </c>
      <c r="B53" s="87" t="s">
        <v>87</v>
      </c>
      <c r="C53" s="23"/>
      <c r="D53" s="23"/>
      <c r="E53" s="23"/>
      <c r="F53" s="28"/>
      <c r="G53" s="23"/>
      <c r="H53" s="28"/>
      <c r="I53" s="23"/>
      <c r="J53" s="28"/>
      <c r="K53" s="28"/>
      <c r="L53" s="28"/>
      <c r="M53" s="28"/>
      <c r="N53" s="129"/>
      <c r="O53" s="4"/>
      <c r="P53" s="5"/>
      <c r="Q53" s="9"/>
    </row>
    <row r="54" spans="1:16" ht="12">
      <c r="A54" s="12"/>
      <c r="B54" s="68" t="s">
        <v>64</v>
      </c>
      <c r="C54" s="14">
        <v>10</v>
      </c>
      <c r="D54" s="25" t="s">
        <v>24</v>
      </c>
      <c r="E54" s="25">
        <v>35</v>
      </c>
      <c r="F54" s="33">
        <f>E54*C54</f>
        <v>350</v>
      </c>
      <c r="G54" s="25"/>
      <c r="H54" s="33"/>
      <c r="I54" s="15"/>
      <c r="J54" s="33"/>
      <c r="K54" s="33"/>
      <c r="L54" s="33"/>
      <c r="M54" s="31">
        <f>F54+H54+J54+L54</f>
        <v>350</v>
      </c>
      <c r="N54" s="130"/>
      <c r="O54" s="7"/>
      <c r="P54" s="10"/>
    </row>
    <row r="55" spans="1:16" ht="12">
      <c r="A55" s="12"/>
      <c r="B55" s="68" t="s">
        <v>30</v>
      </c>
      <c r="C55" s="14">
        <v>7.5</v>
      </c>
      <c r="D55" s="67" t="s">
        <v>25</v>
      </c>
      <c r="E55" s="25">
        <v>7</v>
      </c>
      <c r="F55" s="33">
        <f>E55*C55</f>
        <v>52.5</v>
      </c>
      <c r="G55" s="25"/>
      <c r="H55" s="33"/>
      <c r="I55" s="15"/>
      <c r="J55" s="33"/>
      <c r="K55" s="33"/>
      <c r="L55" s="33"/>
      <c r="M55" s="31">
        <f>F55+H55+J55+L55</f>
        <v>52.5</v>
      </c>
      <c r="N55" s="130"/>
      <c r="O55" s="7"/>
      <c r="P55" s="10"/>
    </row>
    <row r="56" spans="1:16" ht="12">
      <c r="A56" s="12"/>
      <c r="B56" s="68" t="s">
        <v>65</v>
      </c>
      <c r="C56" s="14">
        <v>250</v>
      </c>
      <c r="D56" s="25"/>
      <c r="E56" s="25">
        <v>0</v>
      </c>
      <c r="F56" s="33"/>
      <c r="G56" s="25"/>
      <c r="H56" s="33"/>
      <c r="I56" s="15"/>
      <c r="J56" s="33"/>
      <c r="K56" s="33"/>
      <c r="L56" s="33"/>
      <c r="M56" s="31">
        <f>F56+H56+J56+L56</f>
        <v>0</v>
      </c>
      <c r="N56" s="130">
        <f>C56*6</f>
        <v>1500</v>
      </c>
      <c r="O56" s="7"/>
      <c r="P56" s="10"/>
    </row>
    <row r="57" spans="1:16" ht="12">
      <c r="A57" s="12"/>
      <c r="B57" s="68" t="s">
        <v>68</v>
      </c>
      <c r="C57" s="14">
        <v>150</v>
      </c>
      <c r="D57" s="25" t="s">
        <v>3</v>
      </c>
      <c r="E57" s="25">
        <v>5</v>
      </c>
      <c r="F57" s="33">
        <f>E57*C57</f>
        <v>750</v>
      </c>
      <c r="G57" s="25"/>
      <c r="H57" s="33"/>
      <c r="I57" s="15"/>
      <c r="J57" s="33"/>
      <c r="K57" s="33"/>
      <c r="L57" s="33"/>
      <c r="M57" s="31">
        <f>F57+H57+J57+L57</f>
        <v>750</v>
      </c>
      <c r="N57" s="130"/>
      <c r="O57" s="7"/>
      <c r="P57" s="10"/>
    </row>
    <row r="58" spans="1:17" s="6" customFormat="1" ht="12">
      <c r="A58" s="19"/>
      <c r="B58" s="92" t="s">
        <v>91</v>
      </c>
      <c r="C58" s="17"/>
      <c r="D58" s="17"/>
      <c r="E58" s="17"/>
      <c r="F58" s="104">
        <f>SUM(F54:F57)</f>
        <v>1152.5</v>
      </c>
      <c r="G58" s="17"/>
      <c r="H58" s="104">
        <f>SUM(H54:H57)</f>
        <v>0</v>
      </c>
      <c r="I58" s="17"/>
      <c r="J58" s="30"/>
      <c r="K58" s="30"/>
      <c r="L58" s="30"/>
      <c r="M58" s="104">
        <f>SUM(M54:M57)</f>
        <v>1152.5</v>
      </c>
      <c r="N58" s="133">
        <f>SUM(N54:N57)</f>
        <v>1500</v>
      </c>
      <c r="Q58" s="105"/>
    </row>
    <row r="59" spans="1:14" ht="12">
      <c r="A59" s="12"/>
      <c r="B59" s="89"/>
      <c r="C59" s="20"/>
      <c r="D59" s="20"/>
      <c r="E59" s="20"/>
      <c r="F59" s="30"/>
      <c r="G59" s="20"/>
      <c r="H59" s="30"/>
      <c r="I59" s="20"/>
      <c r="J59" s="30"/>
      <c r="K59" s="30"/>
      <c r="L59" s="30"/>
      <c r="M59" s="30"/>
      <c r="N59" s="131"/>
    </row>
    <row r="60" spans="1:17" ht="12">
      <c r="A60" s="21" t="s">
        <v>89</v>
      </c>
      <c r="B60" s="22" t="s">
        <v>112</v>
      </c>
      <c r="C60" s="23"/>
      <c r="D60" s="23"/>
      <c r="E60" s="23"/>
      <c r="F60" s="28"/>
      <c r="G60" s="23"/>
      <c r="H60" s="28"/>
      <c r="I60" s="23"/>
      <c r="J60" s="28"/>
      <c r="K60" s="28"/>
      <c r="L60" s="28"/>
      <c r="M60" s="28"/>
      <c r="N60" s="129"/>
      <c r="O60" s="4"/>
      <c r="P60" s="5"/>
      <c r="Q60" s="9"/>
    </row>
    <row r="61" spans="1:16" ht="12">
      <c r="A61" s="12"/>
      <c r="B61" s="68" t="s">
        <v>35</v>
      </c>
      <c r="C61" s="14">
        <v>150</v>
      </c>
      <c r="D61" s="25" t="s">
        <v>6</v>
      </c>
      <c r="E61" s="25">
        <v>35</v>
      </c>
      <c r="F61" s="33">
        <f>E61*C61</f>
        <v>5250</v>
      </c>
      <c r="G61" s="25">
        <f>G60</f>
        <v>0</v>
      </c>
      <c r="H61" s="33">
        <f>C61*G61</f>
        <v>0</v>
      </c>
      <c r="I61" s="15"/>
      <c r="J61" s="33"/>
      <c r="K61" s="33"/>
      <c r="L61" s="33"/>
      <c r="M61" s="31">
        <f aca="true" t="shared" si="6" ref="M61:M70">F61+H61+J61+L61</f>
        <v>5250</v>
      </c>
      <c r="N61" s="130"/>
      <c r="O61" s="7"/>
      <c r="P61" s="10"/>
    </row>
    <row r="62" spans="1:17" s="80" customFormat="1" ht="12">
      <c r="A62" s="70"/>
      <c r="B62" s="88" t="s">
        <v>36</v>
      </c>
      <c r="C62" s="71">
        <v>60</v>
      </c>
      <c r="D62" s="72" t="s">
        <v>41</v>
      </c>
      <c r="E62" s="72">
        <f>2*E61</f>
        <v>70</v>
      </c>
      <c r="F62" s="73">
        <f>E62*C62</f>
        <v>4200</v>
      </c>
      <c r="G62" s="72">
        <f>G60*5</f>
        <v>0</v>
      </c>
      <c r="H62" s="73">
        <f>C62*G62</f>
        <v>0</v>
      </c>
      <c r="I62" s="74"/>
      <c r="J62" s="73"/>
      <c r="K62" s="73"/>
      <c r="L62" s="73"/>
      <c r="M62" s="76">
        <f t="shared" si="6"/>
        <v>4200</v>
      </c>
      <c r="N62" s="130"/>
      <c r="O62" s="78"/>
      <c r="P62" s="81"/>
      <c r="Q62" s="79"/>
    </row>
    <row r="63" spans="1:16" ht="12">
      <c r="A63" s="12"/>
      <c r="B63" s="68" t="s">
        <v>61</v>
      </c>
      <c r="C63" s="14">
        <v>30</v>
      </c>
      <c r="D63" s="25" t="s">
        <v>37</v>
      </c>
      <c r="E63" s="25">
        <f>480</f>
        <v>480</v>
      </c>
      <c r="F63" s="33">
        <f>E63*C63</f>
        <v>14400</v>
      </c>
      <c r="G63" s="25">
        <f>G60*20</f>
        <v>0</v>
      </c>
      <c r="H63" s="33">
        <f>C63*G63</f>
        <v>0</v>
      </c>
      <c r="I63" s="15"/>
      <c r="J63" s="33"/>
      <c r="K63" s="33"/>
      <c r="L63" s="33"/>
      <c r="M63" s="31">
        <f t="shared" si="6"/>
        <v>14400</v>
      </c>
      <c r="N63" s="130"/>
      <c r="O63" s="7"/>
      <c r="P63" s="10"/>
    </row>
    <row r="64" spans="1:17" s="80" customFormat="1" ht="12">
      <c r="A64" s="70"/>
      <c r="B64" s="88" t="s">
        <v>38</v>
      </c>
      <c r="C64" s="71">
        <v>40</v>
      </c>
      <c r="D64" s="72" t="s">
        <v>34</v>
      </c>
      <c r="E64" s="72">
        <f>480/2</f>
        <v>240</v>
      </c>
      <c r="F64" s="73">
        <f>E64*C64</f>
        <v>9600</v>
      </c>
      <c r="G64" s="72">
        <f>G60*5*20*0.25</f>
        <v>0</v>
      </c>
      <c r="H64" s="73">
        <f>C64*G64</f>
        <v>0</v>
      </c>
      <c r="I64" s="74"/>
      <c r="J64" s="73"/>
      <c r="K64" s="73"/>
      <c r="L64" s="73"/>
      <c r="M64" s="76">
        <f t="shared" si="6"/>
        <v>9600</v>
      </c>
      <c r="N64" s="130"/>
      <c r="O64" s="78"/>
      <c r="P64" s="81"/>
      <c r="Q64" s="79"/>
    </row>
    <row r="65" spans="1:16" ht="12">
      <c r="A65" s="12"/>
      <c r="B65" s="68" t="s">
        <v>27</v>
      </c>
      <c r="C65" s="14">
        <v>7</v>
      </c>
      <c r="D65" s="25" t="s">
        <v>24</v>
      </c>
      <c r="E65" s="82">
        <f>480*2</f>
        <v>960</v>
      </c>
      <c r="F65" s="33">
        <f>E65*C65</f>
        <v>6720</v>
      </c>
      <c r="G65" s="25">
        <f>G60*6*20</f>
        <v>0</v>
      </c>
      <c r="H65" s="33">
        <f>C65*G65</f>
        <v>0</v>
      </c>
      <c r="I65" s="15"/>
      <c r="J65" s="33"/>
      <c r="K65" s="33"/>
      <c r="L65" s="33"/>
      <c r="M65" s="31">
        <f t="shared" si="6"/>
        <v>6720</v>
      </c>
      <c r="N65" s="130"/>
      <c r="O65" s="7"/>
      <c r="P65" s="10"/>
    </row>
    <row r="66" spans="1:16" ht="12">
      <c r="A66" s="12"/>
      <c r="B66" s="68" t="s">
        <v>28</v>
      </c>
      <c r="C66" s="14">
        <v>250</v>
      </c>
      <c r="D66" s="25" t="s">
        <v>3</v>
      </c>
      <c r="E66" s="25">
        <v>5</v>
      </c>
      <c r="F66" s="33">
        <v>0</v>
      </c>
      <c r="G66" s="25">
        <v>0</v>
      </c>
      <c r="H66" s="33">
        <v>0</v>
      </c>
      <c r="I66" s="15"/>
      <c r="J66" s="33"/>
      <c r="K66" s="33"/>
      <c r="L66" s="33"/>
      <c r="M66" s="31">
        <f t="shared" si="6"/>
        <v>0</v>
      </c>
      <c r="N66" s="130">
        <f>C66*E66</f>
        <v>1250</v>
      </c>
      <c r="O66" s="7"/>
      <c r="P66" s="10"/>
    </row>
    <row r="67" spans="1:17" s="80" customFormat="1" ht="12">
      <c r="A67" s="70"/>
      <c r="B67" s="88" t="s">
        <v>29</v>
      </c>
      <c r="C67" s="71">
        <v>100</v>
      </c>
      <c r="D67" s="72" t="s">
        <v>3</v>
      </c>
      <c r="E67" s="72">
        <v>35</v>
      </c>
      <c r="F67" s="73">
        <f>E67*C67</f>
        <v>3500</v>
      </c>
      <c r="G67" s="72">
        <v>0</v>
      </c>
      <c r="H67" s="73">
        <f>C67*G67</f>
        <v>0</v>
      </c>
      <c r="I67" s="74"/>
      <c r="J67" s="73"/>
      <c r="K67" s="73"/>
      <c r="L67" s="73"/>
      <c r="M67" s="76">
        <f t="shared" si="6"/>
        <v>3500</v>
      </c>
      <c r="N67" s="130"/>
      <c r="O67" s="78"/>
      <c r="P67" s="81"/>
      <c r="Q67" s="79"/>
    </row>
    <row r="68" spans="1:16" ht="12">
      <c r="A68" s="12"/>
      <c r="B68" s="68" t="s">
        <v>30</v>
      </c>
      <c r="C68" s="14">
        <v>7.5</v>
      </c>
      <c r="D68" s="25" t="s">
        <v>33</v>
      </c>
      <c r="E68" s="25">
        <f>480*2</f>
        <v>960</v>
      </c>
      <c r="F68" s="33">
        <f>E68*C68</f>
        <v>7200</v>
      </c>
      <c r="G68" s="25">
        <v>0</v>
      </c>
      <c r="H68" s="33">
        <f>C68*G68</f>
        <v>0</v>
      </c>
      <c r="I68" s="15"/>
      <c r="J68" s="33"/>
      <c r="K68" s="33"/>
      <c r="L68" s="33"/>
      <c r="M68" s="31">
        <f t="shared" si="6"/>
        <v>7200</v>
      </c>
      <c r="N68" s="130"/>
      <c r="O68" s="7"/>
      <c r="P68" s="10"/>
    </row>
    <row r="69" spans="1:16" ht="12">
      <c r="A69" s="12"/>
      <c r="B69" s="68" t="s">
        <v>62</v>
      </c>
      <c r="C69" s="14">
        <v>100</v>
      </c>
      <c r="D69" s="25" t="s">
        <v>63</v>
      </c>
      <c r="E69" s="25">
        <v>20</v>
      </c>
      <c r="F69" s="33">
        <f>E69*C69</f>
        <v>2000</v>
      </c>
      <c r="G69" s="25">
        <f>G60*20</f>
        <v>0</v>
      </c>
      <c r="H69" s="33">
        <f>C69*G69</f>
        <v>0</v>
      </c>
      <c r="I69" s="15"/>
      <c r="J69" s="33"/>
      <c r="K69" s="33"/>
      <c r="L69" s="33"/>
      <c r="M69" s="31">
        <f t="shared" si="6"/>
        <v>2000</v>
      </c>
      <c r="N69" s="130"/>
      <c r="O69" s="7"/>
      <c r="P69" s="10"/>
    </row>
    <row r="70" spans="1:16" ht="12">
      <c r="A70" s="12"/>
      <c r="B70" s="68" t="s">
        <v>31</v>
      </c>
      <c r="C70" s="14">
        <v>150</v>
      </c>
      <c r="D70" s="25" t="s">
        <v>3</v>
      </c>
      <c r="E70" s="25">
        <v>45</v>
      </c>
      <c r="F70" s="33">
        <f>E70*C70</f>
        <v>6750</v>
      </c>
      <c r="G70" s="25">
        <f>6*G60</f>
        <v>0</v>
      </c>
      <c r="H70" s="33">
        <f>C70*G70</f>
        <v>0</v>
      </c>
      <c r="I70" s="15"/>
      <c r="J70" s="33"/>
      <c r="K70" s="33"/>
      <c r="L70" s="33"/>
      <c r="M70" s="31">
        <f t="shared" si="6"/>
        <v>6750</v>
      </c>
      <c r="N70" s="130"/>
      <c r="O70" s="7"/>
      <c r="P70" s="10"/>
    </row>
    <row r="71" spans="1:17" s="6" customFormat="1" ht="24">
      <c r="A71" s="19"/>
      <c r="B71" s="93" t="s">
        <v>93</v>
      </c>
      <c r="C71" s="17"/>
      <c r="D71" s="17"/>
      <c r="E71" s="17"/>
      <c r="F71" s="104">
        <f>SUM(F61:F70)</f>
        <v>59620</v>
      </c>
      <c r="G71" s="17"/>
      <c r="H71" s="104">
        <f>SUM(H61:H70)</f>
        <v>0</v>
      </c>
      <c r="I71" s="17"/>
      <c r="J71" s="30"/>
      <c r="K71" s="30"/>
      <c r="L71" s="30"/>
      <c r="M71" s="104">
        <f>SUM(M61:M70)</f>
        <v>59620</v>
      </c>
      <c r="N71" s="133">
        <f>SUM(N61:N70)</f>
        <v>1250</v>
      </c>
      <c r="Q71" s="105"/>
    </row>
    <row r="72" spans="1:14" ht="24">
      <c r="A72" s="83">
        <v>3</v>
      </c>
      <c r="B72" s="90" t="s">
        <v>90</v>
      </c>
      <c r="C72" s="20"/>
      <c r="D72" s="20"/>
      <c r="E72" s="20"/>
      <c r="F72" s="30">
        <f>F71+F58+F52</f>
        <v>62572.5</v>
      </c>
      <c r="G72" s="20"/>
      <c r="H72" s="30">
        <f>H71+H58+H52</f>
        <v>0</v>
      </c>
      <c r="I72" s="20"/>
      <c r="J72" s="30">
        <f>SUM(J67:J71)</f>
        <v>0</v>
      </c>
      <c r="K72" s="30"/>
      <c r="L72" s="30">
        <f>SUM(L67:L71)</f>
        <v>0</v>
      </c>
      <c r="M72" s="30">
        <f>M71+M58+M52</f>
        <v>62572.5</v>
      </c>
      <c r="N72" s="140">
        <f>N71+N58+N52</f>
        <v>2750</v>
      </c>
    </row>
    <row r="73" spans="1:14" ht="12">
      <c r="A73" s="12"/>
      <c r="B73" s="89"/>
      <c r="C73" s="20"/>
      <c r="D73" s="20"/>
      <c r="E73" s="20"/>
      <c r="F73" s="30"/>
      <c r="G73" s="20"/>
      <c r="H73" s="30"/>
      <c r="I73" s="20"/>
      <c r="J73" s="30"/>
      <c r="K73" s="30"/>
      <c r="L73" s="30"/>
      <c r="M73" s="30"/>
      <c r="N73" s="131"/>
    </row>
    <row r="74" spans="1:17" ht="12">
      <c r="A74" s="21">
        <v>4</v>
      </c>
      <c r="B74" s="22" t="s">
        <v>39</v>
      </c>
      <c r="C74" s="23"/>
      <c r="D74" s="23"/>
      <c r="E74" s="23"/>
      <c r="F74" s="28"/>
      <c r="G74" s="23"/>
      <c r="H74" s="28"/>
      <c r="I74" s="23"/>
      <c r="J74" s="28"/>
      <c r="K74" s="28"/>
      <c r="L74" s="28"/>
      <c r="M74" s="28"/>
      <c r="N74" s="129"/>
      <c r="O74" s="4"/>
      <c r="P74" s="5"/>
      <c r="Q74" s="9"/>
    </row>
    <row r="75" spans="1:16" ht="12">
      <c r="A75" s="12"/>
      <c r="B75" s="68" t="s">
        <v>27</v>
      </c>
      <c r="C75" s="14">
        <v>13</v>
      </c>
      <c r="D75" s="25" t="s">
        <v>24</v>
      </c>
      <c r="E75" s="25">
        <f>10*2</f>
        <v>20</v>
      </c>
      <c r="F75" s="33">
        <f aca="true" t="shared" si="7" ref="F75:F80">E75*C75</f>
        <v>260</v>
      </c>
      <c r="G75" s="25">
        <f>10*4*2</f>
        <v>80</v>
      </c>
      <c r="H75" s="33">
        <f aca="true" t="shared" si="8" ref="H75:H80">C75*G75</f>
        <v>1040</v>
      </c>
      <c r="I75" s="15"/>
      <c r="J75" s="33">
        <f aca="true" t="shared" si="9" ref="J75:J80">I75*C75</f>
        <v>0</v>
      </c>
      <c r="K75" s="33"/>
      <c r="L75" s="33"/>
      <c r="M75" s="31">
        <f aca="true" t="shared" si="10" ref="M75:M80">F75+H75+J75+L75</f>
        <v>1300</v>
      </c>
      <c r="N75" s="130"/>
      <c r="O75" s="7"/>
      <c r="P75" s="10"/>
    </row>
    <row r="76" spans="1:16" ht="12">
      <c r="A76" s="12"/>
      <c r="B76" s="68" t="s">
        <v>148</v>
      </c>
      <c r="C76" s="14">
        <v>60</v>
      </c>
      <c r="D76" s="25" t="s">
        <v>34</v>
      </c>
      <c r="E76" s="25">
        <f>4*2</f>
        <v>8</v>
      </c>
      <c r="F76" s="33">
        <f>E76*C76</f>
        <v>480</v>
      </c>
      <c r="G76" s="25">
        <f>4*2*4</f>
        <v>32</v>
      </c>
      <c r="H76" s="33">
        <f t="shared" si="8"/>
        <v>1920</v>
      </c>
      <c r="I76" s="15"/>
      <c r="J76" s="33">
        <f t="shared" si="9"/>
        <v>0</v>
      </c>
      <c r="K76" s="33"/>
      <c r="L76" s="33"/>
      <c r="M76" s="31">
        <f t="shared" si="10"/>
        <v>2400</v>
      </c>
      <c r="N76" s="130"/>
      <c r="O76" s="7"/>
      <c r="P76" s="10"/>
    </row>
    <row r="77" spans="1:16" ht="12">
      <c r="A77" s="12"/>
      <c r="B77" s="68" t="s">
        <v>149</v>
      </c>
      <c r="C77" s="14">
        <v>45</v>
      </c>
      <c r="D77" s="25" t="s">
        <v>37</v>
      </c>
      <c r="E77" s="25">
        <f>4*2</f>
        <v>8</v>
      </c>
      <c r="F77" s="33">
        <f t="shared" si="7"/>
        <v>360</v>
      </c>
      <c r="G77" s="25">
        <f>4*2*4</f>
        <v>32</v>
      </c>
      <c r="H77" s="33">
        <f t="shared" si="8"/>
        <v>1440</v>
      </c>
      <c r="I77" s="15"/>
      <c r="J77" s="33">
        <f t="shared" si="9"/>
        <v>0</v>
      </c>
      <c r="K77" s="33"/>
      <c r="L77" s="33"/>
      <c r="M77" s="31">
        <f t="shared" si="10"/>
        <v>1800</v>
      </c>
      <c r="N77" s="130"/>
      <c r="O77" s="7"/>
      <c r="P77" s="10"/>
    </row>
    <row r="78" spans="1:16" ht="12">
      <c r="A78" s="12"/>
      <c r="B78" s="68" t="s">
        <v>40</v>
      </c>
      <c r="C78" s="14">
        <v>120</v>
      </c>
      <c r="D78" s="25" t="s">
        <v>3</v>
      </c>
      <c r="E78" s="25">
        <v>0</v>
      </c>
      <c r="F78" s="33">
        <f t="shared" si="7"/>
        <v>0</v>
      </c>
      <c r="G78" s="25">
        <v>0</v>
      </c>
      <c r="H78" s="33">
        <f t="shared" si="8"/>
        <v>0</v>
      </c>
      <c r="I78" s="15"/>
      <c r="J78" s="33">
        <f t="shared" si="9"/>
        <v>0</v>
      </c>
      <c r="K78" s="33"/>
      <c r="L78" s="33"/>
      <c r="M78" s="31">
        <f t="shared" si="10"/>
        <v>0</v>
      </c>
      <c r="N78" s="130">
        <f>C78*5*2</f>
        <v>1200</v>
      </c>
      <c r="O78" s="7"/>
      <c r="P78" s="10"/>
    </row>
    <row r="79" spans="1:16" ht="12">
      <c r="A79" s="12"/>
      <c r="B79" s="68" t="s">
        <v>30</v>
      </c>
      <c r="C79" s="14">
        <v>8</v>
      </c>
      <c r="D79" s="25" t="s">
        <v>33</v>
      </c>
      <c r="E79" s="25">
        <v>10</v>
      </c>
      <c r="F79" s="33">
        <f t="shared" si="7"/>
        <v>80</v>
      </c>
      <c r="G79" s="25">
        <f>10*4</f>
        <v>40</v>
      </c>
      <c r="H79" s="33">
        <f t="shared" si="8"/>
        <v>320</v>
      </c>
      <c r="I79" s="15"/>
      <c r="J79" s="33">
        <f t="shared" si="9"/>
        <v>0</v>
      </c>
      <c r="K79" s="33"/>
      <c r="L79" s="33"/>
      <c r="M79" s="31">
        <f t="shared" si="10"/>
        <v>400</v>
      </c>
      <c r="N79" s="130"/>
      <c r="O79" s="7"/>
      <c r="P79" s="10"/>
    </row>
    <row r="80" spans="1:16" ht="12">
      <c r="A80" s="12"/>
      <c r="B80" s="68" t="s">
        <v>31</v>
      </c>
      <c r="C80" s="14">
        <v>300</v>
      </c>
      <c r="D80" s="25" t="s">
        <v>3</v>
      </c>
      <c r="E80" s="25">
        <f>1*2</f>
        <v>2</v>
      </c>
      <c r="F80" s="33">
        <f t="shared" si="7"/>
        <v>600</v>
      </c>
      <c r="G80" s="25">
        <f>4*2</f>
        <v>8</v>
      </c>
      <c r="H80" s="33">
        <f t="shared" si="8"/>
        <v>2400</v>
      </c>
      <c r="I80" s="15"/>
      <c r="J80" s="33">
        <f t="shared" si="9"/>
        <v>0</v>
      </c>
      <c r="K80" s="33"/>
      <c r="L80" s="33"/>
      <c r="M80" s="31">
        <f t="shared" si="10"/>
        <v>3000</v>
      </c>
      <c r="N80" s="130"/>
      <c r="O80" s="7"/>
      <c r="P80" s="10"/>
    </row>
    <row r="81" spans="1:14" s="110" customFormat="1" ht="12">
      <c r="A81" s="112"/>
      <c r="B81" s="113" t="s">
        <v>99</v>
      </c>
      <c r="C81" s="114"/>
      <c r="D81" s="114"/>
      <c r="E81" s="114"/>
      <c r="F81" s="115">
        <f>SUM(F75:F80)</f>
        <v>1780</v>
      </c>
      <c r="G81" s="114"/>
      <c r="H81" s="115">
        <f>SUM(H75:H80)</f>
        <v>7120</v>
      </c>
      <c r="I81" s="114"/>
      <c r="J81" s="115">
        <f>SUM(J75:J80)</f>
        <v>0</v>
      </c>
      <c r="K81" s="115"/>
      <c r="L81" s="115">
        <f>SUM(L75:L80)</f>
        <v>0</v>
      </c>
      <c r="M81" s="115">
        <f>SUM(M75:M80)</f>
        <v>8900</v>
      </c>
      <c r="N81" s="133">
        <f>SUM(N75:N80)</f>
        <v>1200</v>
      </c>
    </row>
    <row r="82" spans="1:14" s="110" customFormat="1" ht="12">
      <c r="A82" s="112"/>
      <c r="B82" s="113"/>
      <c r="C82" s="114"/>
      <c r="D82" s="114"/>
      <c r="E82" s="114"/>
      <c r="F82" s="115"/>
      <c r="G82" s="114"/>
      <c r="H82" s="115"/>
      <c r="I82" s="114"/>
      <c r="J82" s="115"/>
      <c r="K82" s="115"/>
      <c r="L82" s="115"/>
      <c r="M82" s="115"/>
      <c r="N82" s="133"/>
    </row>
    <row r="83" spans="1:17" s="80" customFormat="1" ht="12">
      <c r="A83" s="70"/>
      <c r="B83" s="88" t="s">
        <v>110</v>
      </c>
      <c r="C83" s="71">
        <v>1000</v>
      </c>
      <c r="D83" s="72" t="s">
        <v>19</v>
      </c>
      <c r="E83" s="72">
        <v>1</v>
      </c>
      <c r="F83" s="73">
        <f>E83*C83</f>
        <v>1000</v>
      </c>
      <c r="G83" s="72">
        <v>1</v>
      </c>
      <c r="H83" s="73">
        <f>C83*G83</f>
        <v>1000</v>
      </c>
      <c r="I83" s="74">
        <v>1</v>
      </c>
      <c r="J83" s="73">
        <f>I83*C83</f>
        <v>1000</v>
      </c>
      <c r="K83" s="75">
        <v>0</v>
      </c>
      <c r="L83" s="73">
        <f>C83*K83</f>
        <v>0</v>
      </c>
      <c r="M83" s="76">
        <f>F83+H83+J83+L83</f>
        <v>3000</v>
      </c>
      <c r="N83" s="130"/>
      <c r="O83" s="78"/>
      <c r="P83" s="81"/>
      <c r="Q83" s="79"/>
    </row>
    <row r="84" spans="1:17" s="80" customFormat="1" ht="12">
      <c r="A84" s="70"/>
      <c r="B84" s="88" t="s">
        <v>69</v>
      </c>
      <c r="C84" s="71">
        <v>19000</v>
      </c>
      <c r="D84" s="72" t="s">
        <v>19</v>
      </c>
      <c r="E84" s="72">
        <v>1</v>
      </c>
      <c r="F84" s="73">
        <f>E84*C84</f>
        <v>19000</v>
      </c>
      <c r="G84" s="72">
        <v>1</v>
      </c>
      <c r="H84" s="73">
        <f>C84*G84</f>
        <v>19000</v>
      </c>
      <c r="I84" s="74">
        <v>0</v>
      </c>
      <c r="J84" s="73">
        <f>I84*C84</f>
        <v>0</v>
      </c>
      <c r="K84" s="75">
        <v>0</v>
      </c>
      <c r="L84" s="73">
        <f>C84*K84</f>
        <v>0</v>
      </c>
      <c r="M84" s="76">
        <f>F84+H84+J84+L84</f>
        <v>38000</v>
      </c>
      <c r="N84" s="130"/>
      <c r="O84" s="78"/>
      <c r="P84" s="81"/>
      <c r="Q84" s="79"/>
    </row>
    <row r="85" spans="1:17" s="125" customFormat="1" ht="12">
      <c r="A85" s="116"/>
      <c r="B85" s="94" t="s">
        <v>100</v>
      </c>
      <c r="C85" s="117"/>
      <c r="D85" s="118"/>
      <c r="E85" s="118"/>
      <c r="F85" s="119">
        <f>SUM(F83:F84)</f>
        <v>20000</v>
      </c>
      <c r="G85" s="118"/>
      <c r="H85" s="119">
        <f>SUM(H83:H84)</f>
        <v>20000</v>
      </c>
      <c r="I85" s="120"/>
      <c r="J85" s="119">
        <f>SUM(J83:J84)</f>
        <v>1000</v>
      </c>
      <c r="K85" s="121"/>
      <c r="L85" s="119">
        <f>SUM(L83:L84)</f>
        <v>0</v>
      </c>
      <c r="M85" s="119">
        <f>SUM(M83:M84)</f>
        <v>41000</v>
      </c>
      <c r="N85" s="141">
        <f>SUM(N83:N84)</f>
        <v>0</v>
      </c>
      <c r="O85" s="122"/>
      <c r="P85" s="123"/>
      <c r="Q85" s="124"/>
    </row>
    <row r="86" spans="1:14" ht="12">
      <c r="A86" s="98">
        <v>4</v>
      </c>
      <c r="B86" s="99" t="s">
        <v>107</v>
      </c>
      <c r="C86" s="35"/>
      <c r="D86" s="35"/>
      <c r="E86" s="35"/>
      <c r="F86" s="36">
        <f>F85+F81</f>
        <v>21780</v>
      </c>
      <c r="G86" s="35"/>
      <c r="H86" s="36">
        <f>H85+H81</f>
        <v>27120</v>
      </c>
      <c r="I86" s="35"/>
      <c r="J86" s="36">
        <f>J85+J81</f>
        <v>1000</v>
      </c>
      <c r="K86" s="36"/>
      <c r="L86" s="36">
        <f>L85+L81</f>
        <v>0</v>
      </c>
      <c r="M86" s="36">
        <f>M85+M81</f>
        <v>49900</v>
      </c>
      <c r="N86" s="142">
        <f>N85+N81</f>
        <v>1200</v>
      </c>
    </row>
    <row r="87" spans="1:14" ht="12">
      <c r="A87" s="98"/>
      <c r="B87" s="99"/>
      <c r="C87" s="35"/>
      <c r="D87" s="35"/>
      <c r="E87" s="35"/>
      <c r="F87" s="36"/>
      <c r="G87" s="35"/>
      <c r="H87" s="36"/>
      <c r="I87" s="35"/>
      <c r="J87" s="36"/>
      <c r="K87" s="36"/>
      <c r="L87" s="36"/>
      <c r="M87" s="36"/>
      <c r="N87" s="143"/>
    </row>
    <row r="88" spans="1:17" ht="12">
      <c r="A88" s="21">
        <v>5</v>
      </c>
      <c r="B88" s="22" t="s">
        <v>139</v>
      </c>
      <c r="C88" s="23"/>
      <c r="D88" s="23"/>
      <c r="E88" s="23"/>
      <c r="F88" s="28"/>
      <c r="G88" s="23"/>
      <c r="H88" s="28"/>
      <c r="I88" s="23"/>
      <c r="J88" s="28"/>
      <c r="K88" s="28"/>
      <c r="L88" s="28"/>
      <c r="M88" s="28"/>
      <c r="N88" s="129"/>
      <c r="O88" s="4"/>
      <c r="P88" s="5"/>
      <c r="Q88" s="9"/>
    </row>
    <row r="89" spans="1:16" ht="12">
      <c r="A89" s="12"/>
      <c r="B89" s="147" t="s">
        <v>140</v>
      </c>
      <c r="C89" s="144">
        <v>150</v>
      </c>
      <c r="D89" s="144" t="s">
        <v>121</v>
      </c>
      <c r="E89" s="25">
        <v>8</v>
      </c>
      <c r="F89" s="33">
        <f>E89*C89</f>
        <v>1200</v>
      </c>
      <c r="G89" s="25">
        <v>8</v>
      </c>
      <c r="H89" s="33">
        <f>C89*G89</f>
        <v>1200</v>
      </c>
      <c r="I89" s="15"/>
      <c r="J89" s="33">
        <f>I89*C89</f>
        <v>0</v>
      </c>
      <c r="K89" s="33"/>
      <c r="L89" s="33"/>
      <c r="M89" s="31">
        <f>F89+H89+J89+L89</f>
        <v>2400</v>
      </c>
      <c r="N89" s="130"/>
      <c r="O89" s="7"/>
      <c r="P89" s="10"/>
    </row>
    <row r="90" spans="1:16" ht="12">
      <c r="A90" s="12"/>
      <c r="B90" s="148"/>
      <c r="C90" s="144"/>
      <c r="D90" s="144"/>
      <c r="E90" s="25"/>
      <c r="F90" s="33"/>
      <c r="G90" s="25"/>
      <c r="H90" s="33"/>
      <c r="I90" s="15"/>
      <c r="J90" s="33"/>
      <c r="K90" s="33"/>
      <c r="L90" s="33"/>
      <c r="M90" s="31">
        <f>F90+H90+J90+L90</f>
        <v>0</v>
      </c>
      <c r="N90" s="130"/>
      <c r="O90" s="7"/>
      <c r="P90" s="10"/>
    </row>
    <row r="91" spans="1:17" s="125" customFormat="1" ht="12">
      <c r="A91" s="116"/>
      <c r="B91" s="94" t="s">
        <v>135</v>
      </c>
      <c r="C91" s="117"/>
      <c r="D91" s="118"/>
      <c r="E91" s="118"/>
      <c r="F91" s="119">
        <f>SUM(F89:F90)</f>
        <v>1200</v>
      </c>
      <c r="G91" s="118"/>
      <c r="H91" s="119">
        <f>SUM(H89:H90)</f>
        <v>1200</v>
      </c>
      <c r="I91" s="120"/>
      <c r="J91" s="119">
        <f>J89</f>
        <v>0</v>
      </c>
      <c r="K91" s="121"/>
      <c r="L91" s="119">
        <f>L89</f>
        <v>0</v>
      </c>
      <c r="M91" s="119">
        <f>SUM(M89:M90)</f>
        <v>2400</v>
      </c>
      <c r="N91" s="146">
        <f>SUM(N89:N90)</f>
        <v>0</v>
      </c>
      <c r="O91" s="122"/>
      <c r="P91" s="123"/>
      <c r="Q91" s="124"/>
    </row>
    <row r="92" spans="1:17" ht="12">
      <c r="A92" s="21">
        <v>5</v>
      </c>
      <c r="B92" s="22" t="s">
        <v>119</v>
      </c>
      <c r="C92" s="23"/>
      <c r="D92" s="23"/>
      <c r="E92" s="23"/>
      <c r="F92" s="28"/>
      <c r="G92" s="23"/>
      <c r="H92" s="28"/>
      <c r="I92" s="23"/>
      <c r="J92" s="28"/>
      <c r="K92" s="28"/>
      <c r="L92" s="28"/>
      <c r="M92" s="28"/>
      <c r="N92" s="129"/>
      <c r="O92" s="4"/>
      <c r="P92" s="5"/>
      <c r="Q92" s="9"/>
    </row>
    <row r="93" spans="1:16" ht="12">
      <c r="A93" s="12"/>
      <c r="B93" s="147" t="s">
        <v>120</v>
      </c>
      <c r="C93" s="144">
        <v>150</v>
      </c>
      <c r="D93" s="144" t="s">
        <v>121</v>
      </c>
      <c r="E93" s="25"/>
      <c r="F93" s="33">
        <f aca="true" t="shared" si="11" ref="F93:F102">E93*C93</f>
        <v>0</v>
      </c>
      <c r="G93" s="25">
        <v>5</v>
      </c>
      <c r="H93" s="33">
        <f aca="true" t="shared" si="12" ref="H93:H103">C93*G93</f>
        <v>750</v>
      </c>
      <c r="I93" s="15"/>
      <c r="J93" s="33">
        <f aca="true" t="shared" si="13" ref="J93:J102">I93*C93</f>
        <v>0</v>
      </c>
      <c r="K93" s="33"/>
      <c r="L93" s="33"/>
      <c r="M93" s="31">
        <f aca="true" t="shared" si="14" ref="M93:M102">F93+H93+J93+L93</f>
        <v>750</v>
      </c>
      <c r="N93" s="130"/>
      <c r="O93" s="7"/>
      <c r="P93" s="10"/>
    </row>
    <row r="94" spans="1:16" ht="12">
      <c r="A94" s="12"/>
      <c r="B94" s="148" t="s">
        <v>122</v>
      </c>
      <c r="C94" s="144">
        <v>150</v>
      </c>
      <c r="D94" s="144" t="s">
        <v>121</v>
      </c>
      <c r="E94" s="25"/>
      <c r="F94" s="33">
        <f t="shared" si="11"/>
        <v>0</v>
      </c>
      <c r="G94" s="25">
        <v>6</v>
      </c>
      <c r="H94" s="33">
        <f t="shared" si="12"/>
        <v>900</v>
      </c>
      <c r="I94" s="15"/>
      <c r="J94" s="33">
        <f t="shared" si="13"/>
        <v>0</v>
      </c>
      <c r="K94" s="33"/>
      <c r="L94" s="33"/>
      <c r="M94" s="31">
        <f t="shared" si="14"/>
        <v>900</v>
      </c>
      <c r="N94" s="130"/>
      <c r="O94" s="7"/>
      <c r="P94" s="10"/>
    </row>
    <row r="95" spans="1:16" ht="12">
      <c r="A95" s="12"/>
      <c r="B95" s="149" t="s">
        <v>123</v>
      </c>
      <c r="C95" s="144"/>
      <c r="D95" s="144"/>
      <c r="E95" s="25"/>
      <c r="F95" s="33">
        <f t="shared" si="11"/>
        <v>0</v>
      </c>
      <c r="G95" s="25">
        <v>0</v>
      </c>
      <c r="H95" s="33">
        <f t="shared" si="12"/>
        <v>0</v>
      </c>
      <c r="I95" s="15"/>
      <c r="J95" s="33">
        <f t="shared" si="13"/>
        <v>0</v>
      </c>
      <c r="K95" s="33"/>
      <c r="L95" s="33"/>
      <c r="M95" s="31">
        <f t="shared" si="14"/>
        <v>0</v>
      </c>
      <c r="N95" s="130">
        <v>500</v>
      </c>
      <c r="O95" s="7"/>
      <c r="P95" s="10"/>
    </row>
    <row r="96" spans="1:16" ht="12.75">
      <c r="A96" s="12"/>
      <c r="B96" s="150" t="s">
        <v>29</v>
      </c>
      <c r="C96" s="144">
        <v>250</v>
      </c>
      <c r="D96" s="144" t="s">
        <v>121</v>
      </c>
      <c r="E96" s="25"/>
      <c r="F96" s="33"/>
      <c r="G96" s="25">
        <v>4</v>
      </c>
      <c r="H96" s="33">
        <f t="shared" si="12"/>
        <v>1000</v>
      </c>
      <c r="I96" s="15"/>
      <c r="J96" s="33"/>
      <c r="K96" s="33"/>
      <c r="L96" s="33"/>
      <c r="M96" s="31">
        <f t="shared" si="14"/>
        <v>1000</v>
      </c>
      <c r="N96" s="130"/>
      <c r="O96" s="7"/>
      <c r="P96" s="10"/>
    </row>
    <row r="97" spans="1:16" ht="12">
      <c r="A97" s="12"/>
      <c r="B97" s="149" t="s">
        <v>124</v>
      </c>
      <c r="C97" s="144">
        <v>10</v>
      </c>
      <c r="D97" s="144" t="s">
        <v>125</v>
      </c>
      <c r="E97" s="25"/>
      <c r="F97" s="33"/>
      <c r="G97" s="25">
        <v>140</v>
      </c>
      <c r="H97" s="33">
        <f t="shared" si="12"/>
        <v>1400</v>
      </c>
      <c r="I97" s="15"/>
      <c r="J97" s="33"/>
      <c r="K97" s="33"/>
      <c r="L97" s="33"/>
      <c r="M97" s="31">
        <f t="shared" si="14"/>
        <v>1400</v>
      </c>
      <c r="N97" s="130"/>
      <c r="O97" s="7"/>
      <c r="P97" s="10"/>
    </row>
    <row r="98" spans="1:16" ht="12">
      <c r="A98" s="12"/>
      <c r="B98" s="149" t="s">
        <v>126</v>
      </c>
      <c r="C98" s="144">
        <v>3</v>
      </c>
      <c r="D98" s="144" t="s">
        <v>127</v>
      </c>
      <c r="E98" s="25"/>
      <c r="F98" s="33"/>
      <c r="G98" s="25">
        <v>70</v>
      </c>
      <c r="H98" s="33">
        <f t="shared" si="12"/>
        <v>210</v>
      </c>
      <c r="I98" s="15"/>
      <c r="J98" s="33"/>
      <c r="K98" s="33"/>
      <c r="L98" s="33"/>
      <c r="M98" s="31">
        <f t="shared" si="14"/>
        <v>210</v>
      </c>
      <c r="N98" s="130"/>
      <c r="O98" s="7"/>
      <c r="P98" s="10"/>
    </row>
    <row r="99" spans="1:16" ht="12">
      <c r="A99" s="12"/>
      <c r="B99" s="149" t="s">
        <v>128</v>
      </c>
      <c r="C99" s="144">
        <v>50</v>
      </c>
      <c r="D99" s="144" t="s">
        <v>129</v>
      </c>
      <c r="E99" s="25"/>
      <c r="F99" s="33"/>
      <c r="G99" s="25">
        <v>3</v>
      </c>
      <c r="H99" s="33">
        <f t="shared" si="12"/>
        <v>150</v>
      </c>
      <c r="I99" s="15"/>
      <c r="J99" s="33"/>
      <c r="K99" s="33"/>
      <c r="L99" s="33"/>
      <c r="M99" s="31">
        <f t="shared" si="14"/>
        <v>150</v>
      </c>
      <c r="N99" s="130"/>
      <c r="O99" s="7"/>
      <c r="P99" s="10"/>
    </row>
    <row r="100" spans="1:16" ht="12.75">
      <c r="A100" s="12"/>
      <c r="B100" s="150" t="s">
        <v>35</v>
      </c>
      <c r="C100" s="144">
        <v>150</v>
      </c>
      <c r="D100" s="144" t="s">
        <v>130</v>
      </c>
      <c r="E100" s="25"/>
      <c r="F100" s="33">
        <f t="shared" si="11"/>
        <v>0</v>
      </c>
      <c r="G100" s="25">
        <v>4</v>
      </c>
      <c r="H100" s="33">
        <f t="shared" si="12"/>
        <v>600</v>
      </c>
      <c r="I100" s="15"/>
      <c r="J100" s="33">
        <f t="shared" si="13"/>
        <v>0</v>
      </c>
      <c r="K100" s="33"/>
      <c r="L100" s="33"/>
      <c r="M100" s="31">
        <f t="shared" si="14"/>
        <v>600</v>
      </c>
      <c r="N100" s="130"/>
      <c r="O100" s="7"/>
      <c r="P100" s="10"/>
    </row>
    <row r="101" spans="1:16" ht="12.75">
      <c r="A101" s="12"/>
      <c r="B101" s="150" t="s">
        <v>36</v>
      </c>
      <c r="C101" s="144">
        <v>75</v>
      </c>
      <c r="D101" s="144" t="s">
        <v>131</v>
      </c>
      <c r="E101" s="25"/>
      <c r="F101" s="33">
        <f t="shared" si="11"/>
        <v>0</v>
      </c>
      <c r="G101" s="25">
        <v>4</v>
      </c>
      <c r="H101" s="33">
        <f t="shared" si="12"/>
        <v>300</v>
      </c>
      <c r="I101" s="15"/>
      <c r="J101" s="33">
        <f t="shared" si="13"/>
        <v>0</v>
      </c>
      <c r="K101" s="33"/>
      <c r="L101" s="33"/>
      <c r="M101" s="31">
        <f t="shared" si="14"/>
        <v>300</v>
      </c>
      <c r="N101" s="130"/>
      <c r="O101" s="7"/>
      <c r="P101" s="10"/>
    </row>
    <row r="102" spans="1:16" ht="12.75">
      <c r="A102" s="12"/>
      <c r="B102" s="151" t="s">
        <v>132</v>
      </c>
      <c r="C102" s="144">
        <v>30</v>
      </c>
      <c r="D102" s="144" t="s">
        <v>133</v>
      </c>
      <c r="E102" s="25"/>
      <c r="F102" s="33">
        <f t="shared" si="11"/>
        <v>0</v>
      </c>
      <c r="G102" s="25">
        <v>50</v>
      </c>
      <c r="H102" s="33">
        <f t="shared" si="12"/>
        <v>1500</v>
      </c>
      <c r="I102" s="15"/>
      <c r="J102" s="33">
        <f t="shared" si="13"/>
        <v>0</v>
      </c>
      <c r="K102" s="33"/>
      <c r="L102" s="33"/>
      <c r="M102" s="31">
        <f t="shared" si="14"/>
        <v>1500</v>
      </c>
      <c r="N102" s="130"/>
      <c r="O102" s="7"/>
      <c r="P102" s="10"/>
    </row>
    <row r="103" spans="1:17" s="110" customFormat="1" ht="12.75">
      <c r="A103" s="112"/>
      <c r="B103" s="150" t="s">
        <v>134</v>
      </c>
      <c r="C103" s="144">
        <v>55</v>
      </c>
      <c r="D103" s="144" t="s">
        <v>125</v>
      </c>
      <c r="E103" s="114"/>
      <c r="F103" s="145">
        <f>SUM(F93:F102)</f>
        <v>0</v>
      </c>
      <c r="G103" s="25">
        <v>80</v>
      </c>
      <c r="H103" s="33">
        <f t="shared" si="12"/>
        <v>4400</v>
      </c>
      <c r="I103" s="15"/>
      <c r="J103" s="33">
        <f>I103*C103</f>
        <v>0</v>
      </c>
      <c r="K103" s="33"/>
      <c r="L103" s="33"/>
      <c r="M103" s="31">
        <f>F103+H103+J103+L103</f>
        <v>4400</v>
      </c>
      <c r="N103" s="130"/>
      <c r="O103" s="7"/>
      <c r="P103" s="10"/>
      <c r="Q103" s="1"/>
    </row>
    <row r="104" spans="1:17" s="125" customFormat="1" ht="12">
      <c r="A104" s="116"/>
      <c r="B104" s="94" t="s">
        <v>135</v>
      </c>
      <c r="C104" s="117"/>
      <c r="D104" s="118"/>
      <c r="E104" s="118"/>
      <c r="F104" s="119">
        <f>SUM(F102:F103)</f>
        <v>0</v>
      </c>
      <c r="G104" s="118"/>
      <c r="H104" s="119">
        <f>SUM(H93:H103)</f>
        <v>11210</v>
      </c>
      <c r="I104" s="120"/>
      <c r="J104" s="119">
        <f>SUM(J102:J103)</f>
        <v>0</v>
      </c>
      <c r="K104" s="121"/>
      <c r="L104" s="119"/>
      <c r="M104" s="119">
        <f>SUM(M93:M103)</f>
        <v>11210</v>
      </c>
      <c r="N104" s="146">
        <f>SUM(N93:N103)</f>
        <v>500</v>
      </c>
      <c r="O104" s="122"/>
      <c r="P104" s="123"/>
      <c r="Q104" s="124"/>
    </row>
    <row r="105" spans="1:14" s="110" customFormat="1" ht="12">
      <c r="A105" s="112"/>
      <c r="B105" s="113"/>
      <c r="C105" s="114"/>
      <c r="D105" s="114"/>
      <c r="E105" s="114"/>
      <c r="F105" s="115"/>
      <c r="G105" s="114"/>
      <c r="H105" s="115"/>
      <c r="I105" s="114"/>
      <c r="J105" s="115"/>
      <c r="K105" s="115"/>
      <c r="L105" s="115"/>
      <c r="M105" s="115"/>
      <c r="N105" s="133"/>
    </row>
    <row r="106" spans="1:14" ht="27.75" customHeight="1">
      <c r="A106" s="37"/>
      <c r="B106" s="95" t="s">
        <v>101</v>
      </c>
      <c r="C106" s="37"/>
      <c r="D106" s="37"/>
      <c r="E106" s="37"/>
      <c r="F106" s="38">
        <f>F86+F72+F47+F19+F91</f>
        <v>223570</v>
      </c>
      <c r="G106" s="38"/>
      <c r="H106" s="38">
        <f>H86+H72+H47+H19+H104+H91</f>
        <v>85130</v>
      </c>
      <c r="I106" s="38"/>
      <c r="J106" s="38">
        <f>J86+J72+J47+J19+J91</f>
        <v>43900</v>
      </c>
      <c r="K106" s="38"/>
      <c r="L106" s="38">
        <f>L86+L72+L47+L19</f>
        <v>2200</v>
      </c>
      <c r="M106" s="38">
        <f>M86+M91+M72+M47+M19+M104</f>
        <v>354800</v>
      </c>
      <c r="N106" s="134">
        <f>N86+N72+N47+N19+N104</f>
        <v>31950</v>
      </c>
    </row>
    <row r="107" ht="12">
      <c r="N107" s="135"/>
    </row>
    <row r="111" ht="12">
      <c r="D111" s="80"/>
    </row>
    <row r="112" ht="12">
      <c r="D112" s="80"/>
    </row>
    <row r="113" ht="12">
      <c r="D113" s="80"/>
    </row>
  </sheetData>
  <sheetProtection/>
  <mergeCells count="2">
    <mergeCell ref="A2:K2"/>
    <mergeCell ref="A1:K1"/>
  </mergeCells>
  <printOptions/>
  <pageMargins left="0.75" right="0.75" top="1" bottom="1" header="0.5" footer="0.5"/>
  <pageSetup fitToHeight="3" fitToWidth="1" horizontalDpi="600" verticalDpi="600" orientation="landscape" scale="94" r:id="rId1"/>
  <headerFooter alignWithMargins="0">
    <oddHeader>&amp;LPH InternationalCivic Education for Increased Participation (CEIP)&amp;RRFA 114-10-000001</oddHeader>
    <oddFooter>&amp;LSubcontract with CTC&amp;R&amp;P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PageLayoutView="0" workbookViewId="0" topLeftCell="A1">
      <selection activeCell="A1" sqref="A1:K1"/>
    </sheetView>
  </sheetViews>
  <sheetFormatPr defaultColWidth="7.10546875" defaultRowHeight="15"/>
  <cols>
    <col min="1" max="1" width="2.88671875" style="1" customWidth="1"/>
    <col min="2" max="2" width="31.4453125" style="1" bestFit="1" customWidth="1"/>
    <col min="3" max="3" width="7.88671875" style="1" customWidth="1"/>
    <col min="4" max="4" width="8.21484375" style="1" customWidth="1"/>
    <col min="5" max="5" width="4.4453125" style="1" customWidth="1"/>
    <col min="6" max="6" width="8.21484375" style="32" customWidth="1"/>
    <col min="7" max="7" width="3.88671875" style="1" customWidth="1"/>
    <col min="8" max="8" width="8.21484375" style="32" customWidth="1"/>
    <col min="9" max="9" width="4.4453125" style="1" customWidth="1"/>
    <col min="10" max="10" width="8.21484375" style="32" customWidth="1"/>
    <col min="11" max="11" width="4.6640625" style="32" customWidth="1"/>
    <col min="12" max="12" width="7.10546875" style="1" customWidth="1"/>
    <col min="13" max="13" width="8.6640625" style="1" customWidth="1"/>
    <col min="14" max="14" width="8.99609375" style="1" customWidth="1"/>
    <col min="15" max="15" width="7.10546875" style="1" customWidth="1"/>
    <col min="16" max="16" width="9.21484375" style="1" customWidth="1"/>
    <col min="17" max="16384" width="7.10546875" style="1" customWidth="1"/>
  </cols>
  <sheetData>
    <row r="1" spans="1:14" ht="15.75">
      <c r="A1" s="215" t="s">
        <v>109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128"/>
      <c r="M1" s="128"/>
      <c r="N1" s="136"/>
    </row>
    <row r="2" spans="1:16" ht="12">
      <c r="A2" s="21">
        <v>1</v>
      </c>
      <c r="B2" s="87" t="s">
        <v>98</v>
      </c>
      <c r="C2" s="23"/>
      <c r="D2" s="23"/>
      <c r="E2" s="23"/>
      <c r="F2" s="28" t="s">
        <v>141</v>
      </c>
      <c r="G2" s="23"/>
      <c r="H2" s="28" t="s">
        <v>142</v>
      </c>
      <c r="I2" s="23"/>
      <c r="J2" s="28" t="s">
        <v>143</v>
      </c>
      <c r="K2" s="28"/>
      <c r="L2" s="28" t="s">
        <v>144</v>
      </c>
      <c r="M2" s="28"/>
      <c r="N2" s="129"/>
      <c r="O2" s="4"/>
      <c r="P2" s="9"/>
    </row>
    <row r="3" spans="1:15" ht="12">
      <c r="A3" s="12"/>
      <c r="B3" s="68" t="s">
        <v>58</v>
      </c>
      <c r="C3" s="14">
        <v>1300</v>
      </c>
      <c r="D3" s="25" t="s">
        <v>7</v>
      </c>
      <c r="E3" s="25">
        <v>12</v>
      </c>
      <c r="F3" s="33">
        <f aca="true" t="shared" si="0" ref="F3:F12">E3*C3</f>
        <v>15600</v>
      </c>
      <c r="G3" s="25">
        <v>12</v>
      </c>
      <c r="H3" s="33">
        <f aca="true" t="shared" si="1" ref="H3:H12">C3*G3</f>
        <v>15600</v>
      </c>
      <c r="I3" s="15">
        <v>12</v>
      </c>
      <c r="J3" s="33">
        <f aca="true" t="shared" si="2" ref="J3:J12">I3*C3</f>
        <v>15600</v>
      </c>
      <c r="K3" s="66">
        <v>2</v>
      </c>
      <c r="L3" s="33">
        <f aca="true" t="shared" si="3" ref="L3:L12">C3*K3</f>
        <v>2600</v>
      </c>
      <c r="M3" s="31">
        <f aca="true" t="shared" si="4" ref="M3:M12">F3+H3+J3+L3</f>
        <v>49400</v>
      </c>
      <c r="N3" s="130">
        <f>C3</f>
        <v>1300</v>
      </c>
      <c r="O3" s="7"/>
    </row>
    <row r="4" spans="1:15" ht="12">
      <c r="A4" s="12"/>
      <c r="B4" s="68" t="s">
        <v>59</v>
      </c>
      <c r="C4" s="14">
        <v>300</v>
      </c>
      <c r="D4" s="25" t="s">
        <v>7</v>
      </c>
      <c r="E4" s="25">
        <v>12</v>
      </c>
      <c r="F4" s="33">
        <f t="shared" si="0"/>
        <v>3600</v>
      </c>
      <c r="G4" s="25">
        <v>12</v>
      </c>
      <c r="H4" s="33">
        <f t="shared" si="1"/>
        <v>3600</v>
      </c>
      <c r="I4" s="15">
        <v>10</v>
      </c>
      <c r="J4" s="33">
        <f t="shared" si="2"/>
        <v>3000</v>
      </c>
      <c r="K4" s="66">
        <v>0</v>
      </c>
      <c r="L4" s="33">
        <f t="shared" si="3"/>
        <v>0</v>
      </c>
      <c r="M4" s="31">
        <f t="shared" si="4"/>
        <v>10200</v>
      </c>
      <c r="N4" s="130">
        <f>C4*4</f>
        <v>1200</v>
      </c>
      <c r="O4" s="7"/>
    </row>
    <row r="5" spans="1:15" ht="12">
      <c r="A5" s="12"/>
      <c r="B5" s="68" t="s">
        <v>0</v>
      </c>
      <c r="C5" s="14">
        <v>200</v>
      </c>
      <c r="D5" s="25" t="s">
        <v>7</v>
      </c>
      <c r="E5" s="25">
        <v>12</v>
      </c>
      <c r="F5" s="33">
        <f t="shared" si="0"/>
        <v>2400</v>
      </c>
      <c r="G5" s="25">
        <v>12</v>
      </c>
      <c r="H5" s="33">
        <f t="shared" si="1"/>
        <v>2400</v>
      </c>
      <c r="I5" s="15">
        <v>10</v>
      </c>
      <c r="J5" s="33">
        <f t="shared" si="2"/>
        <v>2000</v>
      </c>
      <c r="K5" s="66">
        <v>0</v>
      </c>
      <c r="L5" s="33">
        <f t="shared" si="3"/>
        <v>0</v>
      </c>
      <c r="M5" s="31">
        <f t="shared" si="4"/>
        <v>6800</v>
      </c>
      <c r="N5" s="130">
        <f>C5*4</f>
        <v>800</v>
      </c>
      <c r="O5" s="7"/>
    </row>
    <row r="6" spans="1:15" ht="12">
      <c r="A6" s="12"/>
      <c r="B6" s="68" t="s">
        <v>57</v>
      </c>
      <c r="C6" s="14">
        <v>3000</v>
      </c>
      <c r="D6" s="25" t="s">
        <v>60</v>
      </c>
      <c r="E6" s="25">
        <v>1</v>
      </c>
      <c r="F6" s="33">
        <f t="shared" si="0"/>
        <v>3000</v>
      </c>
      <c r="G6" s="25">
        <v>0</v>
      </c>
      <c r="H6" s="33">
        <f t="shared" si="1"/>
        <v>0</v>
      </c>
      <c r="I6" s="15"/>
      <c r="J6" s="33">
        <f t="shared" si="2"/>
        <v>0</v>
      </c>
      <c r="K6" s="66">
        <v>0</v>
      </c>
      <c r="L6" s="33">
        <f t="shared" si="3"/>
        <v>0</v>
      </c>
      <c r="M6" s="31">
        <f t="shared" si="4"/>
        <v>3000</v>
      </c>
      <c r="N6" s="130"/>
      <c r="O6" s="7"/>
    </row>
    <row r="7" spans="1:15" ht="24">
      <c r="A7" s="12"/>
      <c r="B7" s="68" t="s">
        <v>72</v>
      </c>
      <c r="C7" s="14">
        <v>1000</v>
      </c>
      <c r="D7" s="25" t="s">
        <v>73</v>
      </c>
      <c r="E7" s="25">
        <v>2</v>
      </c>
      <c r="F7" s="33">
        <f t="shared" si="0"/>
        <v>2000</v>
      </c>
      <c r="G7" s="25">
        <v>2</v>
      </c>
      <c r="H7" s="33">
        <f t="shared" si="1"/>
        <v>2000</v>
      </c>
      <c r="I7" s="15">
        <v>2</v>
      </c>
      <c r="J7" s="33">
        <f t="shared" si="2"/>
        <v>2000</v>
      </c>
      <c r="K7" s="66">
        <v>1</v>
      </c>
      <c r="L7" s="33">
        <f t="shared" si="3"/>
        <v>1000</v>
      </c>
      <c r="M7" s="31">
        <f t="shared" si="4"/>
        <v>7000</v>
      </c>
      <c r="N7" s="130"/>
      <c r="O7" s="7"/>
    </row>
    <row r="8" spans="1:16" s="80" customFormat="1" ht="12">
      <c r="A8" s="70"/>
      <c r="B8" s="88" t="s">
        <v>70</v>
      </c>
      <c r="C8" s="71">
        <v>700</v>
      </c>
      <c r="D8" s="72" t="s">
        <v>71</v>
      </c>
      <c r="E8" s="72">
        <v>11</v>
      </c>
      <c r="F8" s="73">
        <f t="shared" si="0"/>
        <v>7700</v>
      </c>
      <c r="G8" s="72"/>
      <c r="H8" s="73">
        <f t="shared" si="1"/>
        <v>0</v>
      </c>
      <c r="I8" s="74">
        <v>11</v>
      </c>
      <c r="J8" s="73">
        <f t="shared" si="2"/>
        <v>7700</v>
      </c>
      <c r="K8" s="75">
        <v>0</v>
      </c>
      <c r="L8" s="73">
        <f t="shared" si="3"/>
        <v>0</v>
      </c>
      <c r="M8" s="76">
        <f t="shared" si="4"/>
        <v>15400</v>
      </c>
      <c r="N8" s="130"/>
      <c r="O8" s="78"/>
      <c r="P8" s="79"/>
    </row>
    <row r="9" spans="1:16" s="80" customFormat="1" ht="12">
      <c r="A9" s="70"/>
      <c r="B9" s="88" t="s">
        <v>69</v>
      </c>
      <c r="C9" s="71">
        <v>19000</v>
      </c>
      <c r="D9" s="72" t="s">
        <v>19</v>
      </c>
      <c r="E9" s="72">
        <v>0</v>
      </c>
      <c r="F9" s="73">
        <f t="shared" si="0"/>
        <v>0</v>
      </c>
      <c r="G9" s="72">
        <v>0</v>
      </c>
      <c r="H9" s="73">
        <f t="shared" si="1"/>
        <v>0</v>
      </c>
      <c r="I9" s="74">
        <v>1</v>
      </c>
      <c r="J9" s="73">
        <f t="shared" si="2"/>
        <v>19000</v>
      </c>
      <c r="K9" s="75">
        <v>0</v>
      </c>
      <c r="L9" s="73">
        <f t="shared" si="3"/>
        <v>0</v>
      </c>
      <c r="M9" s="76">
        <f t="shared" si="4"/>
        <v>19000</v>
      </c>
      <c r="N9" s="130"/>
      <c r="O9" s="78"/>
      <c r="P9" s="79"/>
    </row>
    <row r="10" spans="1:15" ht="24">
      <c r="A10" s="12"/>
      <c r="B10" s="68" t="s">
        <v>75</v>
      </c>
      <c r="C10" s="14">
        <v>250</v>
      </c>
      <c r="D10" s="25"/>
      <c r="E10" s="25">
        <v>11</v>
      </c>
      <c r="F10" s="33">
        <f t="shared" si="0"/>
        <v>2750</v>
      </c>
      <c r="G10" s="25">
        <v>11</v>
      </c>
      <c r="H10" s="33">
        <f t="shared" si="1"/>
        <v>2750</v>
      </c>
      <c r="I10" s="15">
        <v>5</v>
      </c>
      <c r="J10" s="33">
        <f t="shared" si="2"/>
        <v>1250</v>
      </c>
      <c r="K10" s="66">
        <v>0</v>
      </c>
      <c r="L10" s="33">
        <f t="shared" si="3"/>
        <v>0</v>
      </c>
      <c r="M10" s="31">
        <f t="shared" si="4"/>
        <v>6750</v>
      </c>
      <c r="N10" s="130">
        <f>6*C10</f>
        <v>1500</v>
      </c>
      <c r="O10" s="7"/>
    </row>
    <row r="11" spans="1:15" ht="12">
      <c r="A11" s="12"/>
      <c r="B11" s="68" t="s">
        <v>97</v>
      </c>
      <c r="C11" s="167">
        <v>100</v>
      </c>
      <c r="D11" s="25"/>
      <c r="E11" s="25">
        <v>11</v>
      </c>
      <c r="F11" s="33">
        <f t="shared" si="0"/>
        <v>1100</v>
      </c>
      <c r="G11" s="25">
        <v>11</v>
      </c>
      <c r="H11" s="33">
        <f t="shared" si="1"/>
        <v>1100</v>
      </c>
      <c r="I11" s="15">
        <v>5</v>
      </c>
      <c r="J11" s="33">
        <f t="shared" si="2"/>
        <v>500</v>
      </c>
      <c r="K11" s="66">
        <v>0</v>
      </c>
      <c r="L11" s="33">
        <f t="shared" si="3"/>
        <v>0</v>
      </c>
      <c r="M11" s="31">
        <f t="shared" si="4"/>
        <v>2700</v>
      </c>
      <c r="N11" s="130">
        <f>6*C11</f>
        <v>600</v>
      </c>
      <c r="O11" s="7"/>
    </row>
    <row r="12" spans="1:15" ht="12">
      <c r="A12" s="12"/>
      <c r="B12" s="68" t="s">
        <v>108</v>
      </c>
      <c r="C12" s="14">
        <v>1200</v>
      </c>
      <c r="D12" s="25" t="s">
        <v>74</v>
      </c>
      <c r="E12" s="25">
        <v>2</v>
      </c>
      <c r="F12" s="33">
        <f t="shared" si="0"/>
        <v>2400</v>
      </c>
      <c r="G12" s="25">
        <v>2</v>
      </c>
      <c r="H12" s="33">
        <f t="shared" si="1"/>
        <v>2400</v>
      </c>
      <c r="I12" s="15">
        <v>2</v>
      </c>
      <c r="J12" s="33">
        <f t="shared" si="2"/>
        <v>2400</v>
      </c>
      <c r="K12" s="66">
        <v>0</v>
      </c>
      <c r="L12" s="33">
        <f t="shared" si="3"/>
        <v>0</v>
      </c>
      <c r="M12" s="31">
        <f t="shared" si="4"/>
        <v>7200</v>
      </c>
      <c r="N12" s="130"/>
      <c r="O12" s="7"/>
    </row>
    <row r="13" spans="1:16" ht="12">
      <c r="A13" s="12"/>
      <c r="B13" s="91"/>
      <c r="C13" s="17"/>
      <c r="D13" s="17"/>
      <c r="E13" s="17"/>
      <c r="F13" s="34">
        <f>SUM(F3:F12)</f>
        <v>40550</v>
      </c>
      <c r="G13" s="17"/>
      <c r="H13" s="34">
        <f>SUM(H3:H12)</f>
        <v>29850</v>
      </c>
      <c r="I13" s="17"/>
      <c r="J13" s="34">
        <f>SUM(J3:J12)</f>
        <v>53450</v>
      </c>
      <c r="K13" s="69"/>
      <c r="L13" s="34">
        <f>SUM(L3:L12)</f>
        <v>3600</v>
      </c>
      <c r="M13" s="34">
        <f>SUM(M3:M12)</f>
        <v>127450</v>
      </c>
      <c r="N13" s="137"/>
      <c r="P13" s="9"/>
    </row>
    <row r="14" spans="1:16" s="103" customFormat="1" ht="27.75" customHeight="1">
      <c r="A14" s="100"/>
      <c r="B14" s="126" t="s">
        <v>102</v>
      </c>
      <c r="C14" s="101"/>
      <c r="D14" s="101"/>
      <c r="E14" s="101"/>
      <c r="F14" s="102">
        <f>F13</f>
        <v>40550</v>
      </c>
      <c r="G14" s="101"/>
      <c r="H14" s="102">
        <f>H13</f>
        <v>29850</v>
      </c>
      <c r="I14" s="101"/>
      <c r="J14" s="102">
        <f>J13</f>
        <v>53450</v>
      </c>
      <c r="K14" s="102"/>
      <c r="L14" s="102">
        <f>L13</f>
        <v>3600</v>
      </c>
      <c r="M14" s="102">
        <f>M13</f>
        <v>127450</v>
      </c>
      <c r="N14" s="138">
        <f>SUM(N3:N13)</f>
        <v>5400</v>
      </c>
      <c r="P14" s="127"/>
    </row>
    <row r="15" spans="1:14" ht="12">
      <c r="A15" s="2"/>
      <c r="B15" s="97"/>
      <c r="C15" s="84"/>
      <c r="D15" s="84"/>
      <c r="E15" s="84"/>
      <c r="F15" s="85"/>
      <c r="G15" s="84"/>
      <c r="H15" s="85"/>
      <c r="I15" s="84"/>
      <c r="J15" s="85">
        <f>J14-J9</f>
        <v>34450</v>
      </c>
      <c r="K15" s="85"/>
      <c r="L15" s="85"/>
      <c r="M15" s="85"/>
      <c r="N15" s="131"/>
    </row>
    <row r="17" ht="12">
      <c r="B17" s="1" t="s">
        <v>117</v>
      </c>
    </row>
    <row r="19" ht="15.75">
      <c r="B19" s="169" t="s">
        <v>172</v>
      </c>
    </row>
    <row r="20" ht="15.75">
      <c r="B20" s="168"/>
    </row>
    <row r="21" ht="15.75">
      <c r="B21" s="168" t="s">
        <v>150</v>
      </c>
    </row>
    <row r="22" ht="15.75">
      <c r="B22" s="169" t="s">
        <v>151</v>
      </c>
    </row>
    <row r="23" ht="15.75">
      <c r="B23" s="168" t="s">
        <v>152</v>
      </c>
    </row>
    <row r="24" ht="15.75">
      <c r="B24" s="169" t="s">
        <v>153</v>
      </c>
    </row>
    <row r="25" ht="15.75">
      <c r="B25" s="168" t="s">
        <v>154</v>
      </c>
    </row>
    <row r="26" ht="15.75">
      <c r="B26" s="169" t="s">
        <v>155</v>
      </c>
    </row>
    <row r="27" ht="15.75">
      <c r="B27" s="170"/>
    </row>
    <row r="28" ht="15.75">
      <c r="B28" s="170" t="s">
        <v>156</v>
      </c>
    </row>
    <row r="29" ht="15.75">
      <c r="B29" s="170" t="s">
        <v>157</v>
      </c>
    </row>
    <row r="30" ht="15.75">
      <c r="B30" s="170" t="s">
        <v>158</v>
      </c>
    </row>
    <row r="31" ht="15.75">
      <c r="B31" s="170" t="s">
        <v>159</v>
      </c>
    </row>
    <row r="32" ht="15.75">
      <c r="B32" s="170" t="s">
        <v>160</v>
      </c>
    </row>
    <row r="33" ht="15.75">
      <c r="B33" s="170" t="s">
        <v>161</v>
      </c>
    </row>
    <row r="34" ht="15.75">
      <c r="B34" s="170" t="s">
        <v>162</v>
      </c>
    </row>
    <row r="35" ht="15.75">
      <c r="B35" s="170" t="s">
        <v>163</v>
      </c>
    </row>
    <row r="36" ht="15.75">
      <c r="B36" s="169"/>
    </row>
    <row r="37" ht="12">
      <c r="B37" s="171"/>
    </row>
    <row r="38" ht="15.75">
      <c r="B38" s="169" t="s">
        <v>164</v>
      </c>
    </row>
    <row r="39" ht="15.75">
      <c r="B39" s="169" t="s">
        <v>165</v>
      </c>
    </row>
    <row r="40" ht="18.75">
      <c r="B40" s="169" t="s">
        <v>166</v>
      </c>
    </row>
    <row r="41" ht="15.75">
      <c r="B41" s="169" t="s">
        <v>167</v>
      </c>
    </row>
    <row r="42" ht="12">
      <c r="B42" s="171"/>
    </row>
    <row r="43" ht="15.75">
      <c r="B43" s="168" t="s">
        <v>168</v>
      </c>
    </row>
    <row r="44" ht="15.75">
      <c r="B44" s="169" t="s">
        <v>169</v>
      </c>
    </row>
    <row r="45" ht="15.75">
      <c r="B45" s="168" t="s">
        <v>170</v>
      </c>
    </row>
    <row r="46" ht="15.75">
      <c r="B46" s="169" t="s">
        <v>171</v>
      </c>
    </row>
    <row r="47" ht="15.75">
      <c r="B47" s="172"/>
    </row>
  </sheetData>
  <sheetProtection/>
  <mergeCells count="1">
    <mergeCell ref="A1:K1"/>
  </mergeCells>
  <printOptions/>
  <pageMargins left="0.75" right="0.75" top="1" bottom="1" header="0.5" footer="0.5"/>
  <pageSetup fitToHeight="1" fitToWidth="1" horizontalDpi="600" verticalDpi="600" orientation="portrait" paperSize="9" scale="1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1"/>
  <sheetViews>
    <sheetView zoomScalePageLayoutView="0" workbookViewId="0" topLeftCell="A1">
      <selection activeCell="A1" sqref="A1"/>
    </sheetView>
  </sheetViews>
  <sheetFormatPr defaultColWidth="7.10546875" defaultRowHeight="15"/>
  <cols>
    <col min="1" max="1" width="2.88671875" style="1" customWidth="1"/>
    <col min="2" max="2" width="32.99609375" style="1" customWidth="1"/>
    <col min="3" max="3" width="7.88671875" style="1" customWidth="1"/>
    <col min="4" max="4" width="8.21484375" style="1" customWidth="1"/>
    <col min="5" max="5" width="4.4453125" style="1" customWidth="1"/>
    <col min="6" max="6" width="10.10546875" style="32" customWidth="1"/>
    <col min="7" max="7" width="3.88671875" style="1" customWidth="1"/>
    <col min="8" max="8" width="9.6640625" style="32" customWidth="1"/>
    <col min="9" max="9" width="4.4453125" style="1" customWidth="1"/>
    <col min="10" max="10" width="10.4453125" style="32" customWidth="1"/>
    <col min="11" max="11" width="8.21484375" style="32" customWidth="1"/>
    <col min="12" max="12" width="4.4453125" style="1" customWidth="1"/>
    <col min="13" max="13" width="8.21484375" style="32" customWidth="1"/>
    <col min="14" max="14" width="9.4453125" style="32" customWidth="1"/>
    <col min="15" max="16384" width="7.10546875" style="1" customWidth="1"/>
  </cols>
  <sheetData>
    <row r="2" ht="12.75" thickBot="1"/>
    <row r="3" spans="1:14" ht="12">
      <c r="A3" s="42" t="s">
        <v>46</v>
      </c>
      <c r="E3" s="49" t="s">
        <v>145</v>
      </c>
      <c r="F3" s="59"/>
      <c r="G3" s="60" t="s">
        <v>47</v>
      </c>
      <c r="H3" s="50"/>
      <c r="I3" s="49" t="s">
        <v>49</v>
      </c>
      <c r="J3" s="156"/>
      <c r="K3" s="60" t="s">
        <v>136</v>
      </c>
      <c r="L3" s="161"/>
      <c r="M3" s="60" t="s">
        <v>136</v>
      </c>
      <c r="N3" s="162"/>
    </row>
    <row r="4" spans="5:14" ht="12">
      <c r="E4" s="51" t="s">
        <v>146</v>
      </c>
      <c r="F4" s="45"/>
      <c r="G4" s="44" t="s">
        <v>48</v>
      </c>
      <c r="H4" s="52"/>
      <c r="I4" s="51" t="s">
        <v>116</v>
      </c>
      <c r="J4" s="157"/>
      <c r="K4" s="153"/>
      <c r="L4" s="54"/>
      <c r="M4" s="153"/>
      <c r="N4" s="55"/>
    </row>
    <row r="5" spans="5:14" ht="12">
      <c r="E5" s="61" t="s">
        <v>14</v>
      </c>
      <c r="F5" s="48" t="s">
        <v>52</v>
      </c>
      <c r="G5" s="47" t="s">
        <v>14</v>
      </c>
      <c r="H5" s="62" t="s">
        <v>50</v>
      </c>
      <c r="I5" s="53" t="s">
        <v>14</v>
      </c>
      <c r="J5" s="152" t="s">
        <v>51</v>
      </c>
      <c r="K5" s="154" t="s">
        <v>8</v>
      </c>
      <c r="L5" s="54"/>
      <c r="M5" s="154" t="s">
        <v>9</v>
      </c>
      <c r="N5" s="163" t="s">
        <v>10</v>
      </c>
    </row>
    <row r="6" spans="2:14" ht="12">
      <c r="B6" s="13" t="s">
        <v>114</v>
      </c>
      <c r="C6" s="14"/>
      <c r="D6" s="58"/>
      <c r="E6" s="64"/>
      <c r="F6" s="46"/>
      <c r="H6" s="55"/>
      <c r="I6" s="54"/>
      <c r="J6" s="158">
        <f>8000+2500</f>
        <v>10500</v>
      </c>
      <c r="K6" s="155"/>
      <c r="L6" s="54"/>
      <c r="M6" s="155"/>
      <c r="N6" s="164"/>
    </row>
    <row r="7" spans="2:14" ht="12">
      <c r="B7" s="13" t="s">
        <v>76</v>
      </c>
      <c r="C7" s="14"/>
      <c r="D7" s="58"/>
      <c r="E7" s="54"/>
      <c r="F7" s="43"/>
      <c r="H7" s="55"/>
      <c r="I7" s="54"/>
      <c r="J7" s="32">
        <v>28000</v>
      </c>
      <c r="K7" s="155"/>
      <c r="L7" s="54"/>
      <c r="M7" s="155"/>
      <c r="N7" s="164"/>
    </row>
    <row r="8" spans="2:14" ht="12">
      <c r="B8" s="13" t="s">
        <v>77</v>
      </c>
      <c r="C8" s="14"/>
      <c r="D8" s="58"/>
      <c r="E8" s="54"/>
      <c r="F8" s="43"/>
      <c r="H8" s="55">
        <v>15000</v>
      </c>
      <c r="I8" s="54"/>
      <c r="K8" s="155"/>
      <c r="L8" s="54"/>
      <c r="M8" s="155"/>
      <c r="N8" s="164"/>
    </row>
    <row r="9" spans="2:14" ht="12.75" thickBot="1">
      <c r="B9" s="24" t="s">
        <v>115</v>
      </c>
      <c r="C9" s="14"/>
      <c r="D9" s="58"/>
      <c r="E9" s="56"/>
      <c r="F9" s="65">
        <v>112000</v>
      </c>
      <c r="G9" s="63"/>
      <c r="H9" s="57">
        <v>30009</v>
      </c>
      <c r="I9" s="56"/>
      <c r="J9" s="159"/>
      <c r="K9" s="155"/>
      <c r="L9" s="54"/>
      <c r="M9" s="155"/>
      <c r="N9" s="164"/>
    </row>
    <row r="10" spans="2:14" ht="12.75" thickBot="1">
      <c r="B10" s="24" t="s">
        <v>137</v>
      </c>
      <c r="C10" s="14"/>
      <c r="D10" s="58"/>
      <c r="E10" s="56"/>
      <c r="F10" s="65">
        <v>0</v>
      </c>
      <c r="G10" s="63"/>
      <c r="H10" s="57"/>
      <c r="I10" s="56"/>
      <c r="J10" s="159"/>
      <c r="K10" s="165">
        <f>35*100</f>
        <v>3500</v>
      </c>
      <c r="L10" s="54">
        <v>95</v>
      </c>
      <c r="M10" s="165">
        <f>L10*100</f>
        <v>9500</v>
      </c>
      <c r="N10" s="166">
        <f>L10*100</f>
        <v>9500</v>
      </c>
    </row>
    <row r="11" spans="1:14" ht="12.75" thickBot="1">
      <c r="A11" s="12"/>
      <c r="B11" s="16" t="s">
        <v>5</v>
      </c>
      <c r="C11" s="17"/>
      <c r="D11" s="18"/>
      <c r="E11" s="18"/>
      <c r="F11" s="29">
        <f>SUM(F6:F10)</f>
        <v>112000</v>
      </c>
      <c r="G11" s="18"/>
      <c r="H11" s="29">
        <f>SUM(H6:H10)</f>
        <v>45009</v>
      </c>
      <c r="I11" s="18"/>
      <c r="J11" s="160">
        <f>SUM(J6:J10)</f>
        <v>38500</v>
      </c>
      <c r="K11" s="160">
        <f>SUM(K6:K10)</f>
        <v>3500</v>
      </c>
      <c r="L11" s="56"/>
      <c r="M11" s="160">
        <f>SUM(M6:M10)</f>
        <v>9500</v>
      </c>
      <c r="N11" s="160">
        <f>SUM(N6:N10)</f>
        <v>9500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 Learning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daviesc</dc:creator>
  <cp:keywords/>
  <dc:description/>
  <cp:lastModifiedBy>Tinatin Bochorishvili</cp:lastModifiedBy>
  <cp:lastPrinted>2023-07-18T08:30:06Z</cp:lastPrinted>
  <dcterms:created xsi:type="dcterms:W3CDTF">2005-05-03T20:27:36Z</dcterms:created>
  <dcterms:modified xsi:type="dcterms:W3CDTF">2023-09-13T12:01:01Z</dcterms:modified>
  <cp:category/>
  <cp:version/>
  <cp:contentType/>
  <cp:contentStatus/>
</cp:coreProperties>
</file>